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4555" windowHeight="12780" activeTab="0"/>
  </bookViews>
  <sheets>
    <sheet name="LBO" sheetId="1" r:id="rId1"/>
    <sheet name="Target P&amp;L" sheetId="2" r:id="rId2"/>
  </sheets>
  <definedNames>
    <definedName name="curr_date">'LBO'!$G$22</definedName>
    <definedName name="err_msg">'LBO'!#REF!</definedName>
    <definedName name="fye">'LBO'!$G$20</definedName>
    <definedName name="ltm_date">'LBO'!$G$21</definedName>
    <definedName name="op_case">'LBO'!$G$12</definedName>
    <definedName name="stub">'LBO'!$G$26</definedName>
    <definedName name="tgt">'LBO'!$O$6</definedName>
  </definedNames>
  <calcPr calcMode="autoNoTable" fullCalcOnLoad="1" iterate="1" iterateCount="1000" iterateDelta="0.001"/>
</workbook>
</file>

<file path=xl/comments1.xml><?xml version="1.0" encoding="utf-8"?>
<comments xmlns="http://schemas.openxmlformats.org/spreadsheetml/2006/main">
  <authors>
    <author>Ryan MacGregor</author>
  </authors>
  <commentList>
    <comment ref="G23" authorId="0">
      <text>
        <r>
          <rPr>
            <sz val="8"/>
            <color indexed="8"/>
            <rFont val="Tahoma"/>
            <family val="0"/>
          </rPr>
          <t>Closing date should be no more than 12 months from the last FYE or model will break.</t>
        </r>
      </text>
    </comment>
    <comment ref="G25" authorId="0">
      <text>
        <r>
          <rPr>
            <sz val="8"/>
            <color indexed="8"/>
            <rFont val="Tahoma"/>
            <family val="0"/>
          </rPr>
          <t>This should never be less than zero.</t>
        </r>
      </text>
    </comment>
    <comment ref="A39" authorId="0">
      <text>
        <r>
          <rPr>
            <sz val="8"/>
            <color indexed="8"/>
            <rFont val="Tahoma"/>
            <family val="0"/>
          </rPr>
          <t>Does not include stock-based compensation expense.</t>
        </r>
      </text>
    </comment>
    <comment ref="S38" authorId="0">
      <text>
        <r>
          <rPr>
            <sz val="8"/>
            <rFont val="Tahoma"/>
            <family val="2"/>
          </rPr>
          <t>Assume synergies are not realized until Year 2.</t>
        </r>
      </text>
    </comment>
    <comment ref="S40" authorId="0">
      <text>
        <r>
          <rPr>
            <sz val="8"/>
            <rFont val="Tahoma"/>
            <family val="2"/>
          </rPr>
          <t>Assume synergies are not realized until Year 2.</t>
        </r>
      </text>
    </comment>
    <comment ref="AK32" authorId="0">
      <text>
        <r>
          <rPr>
            <sz val="8"/>
            <color indexed="8"/>
            <rFont val="Tahoma"/>
            <family val="0"/>
          </rPr>
          <t>Source:  10-Q dated 3/31/2008.</t>
        </r>
      </text>
    </comment>
    <comment ref="AM32" authorId="0">
      <text>
        <r>
          <rPr>
            <sz val="8"/>
            <color indexed="8"/>
            <rFont val="Tahoma"/>
            <family val="0"/>
          </rPr>
          <t>Source:  10-Q dated 3/31/2008.</t>
        </r>
      </text>
    </comment>
    <comment ref="B56" authorId="0">
      <text>
        <r>
          <rPr>
            <sz val="8"/>
            <color indexed="8"/>
            <rFont val="Tahoma"/>
            <family val="0"/>
          </rPr>
          <t>This DTA does not include NOLs.  Any NOLs are reflected in the long-term DTA below.</t>
        </r>
      </text>
    </comment>
    <comment ref="B80" authorId="0">
      <text>
        <r>
          <rPr>
            <sz val="8"/>
            <color indexed="8"/>
            <rFont val="Tahoma"/>
            <family val="0"/>
          </rPr>
          <t>Any DTAs related to NOLs are included here as a negative DTL.</t>
        </r>
      </text>
    </comment>
  </commentList>
</comments>
</file>

<file path=xl/sharedStrings.xml><?xml version="1.0" encoding="utf-8"?>
<sst xmlns="http://schemas.openxmlformats.org/spreadsheetml/2006/main" count="142" uniqueCount="113">
  <si>
    <t>($ in millions, except per share data)</t>
  </si>
  <si>
    <t>Valuation Summary</t>
  </si>
  <si>
    <t>Current Target Stock Price</t>
  </si>
  <si>
    <t>Offer Premium</t>
  </si>
  <si>
    <t>Offer Price Per Target Share</t>
  </si>
  <si>
    <t>Calendarization / Timing</t>
  </si>
  <si>
    <t>Last Fiscal Year End</t>
  </si>
  <si>
    <t>LTM End Date</t>
  </si>
  <si>
    <t>Current Date</t>
  </si>
  <si>
    <t>Expected Closing Date</t>
  </si>
  <si>
    <t>Months from Last FYE to LTM End</t>
  </si>
  <si>
    <t>Months from Closing to Next FYE</t>
  </si>
  <si>
    <t>Stub Allocation</t>
  </si>
  <si>
    <t>Model Detail</t>
  </si>
  <si>
    <t>Target Code Name</t>
  </si>
  <si>
    <t>TargetCo</t>
  </si>
  <si>
    <t>Model Created / Modified by:</t>
  </si>
  <si>
    <t>Last Modified:</t>
  </si>
  <si>
    <t>File Name:</t>
  </si>
  <si>
    <t>Chris P. Chicken</t>
  </si>
  <si>
    <t>212-555-1212</t>
  </si>
  <si>
    <t>CAGR</t>
  </si>
  <si>
    <t>Total Revenue</t>
  </si>
  <si>
    <t>% Growth</t>
  </si>
  <si>
    <t>NA</t>
  </si>
  <si>
    <t>COGS</t>
  </si>
  <si>
    <t>% of Sales</t>
  </si>
  <si>
    <t>Gross Profit</t>
  </si>
  <si>
    <t>% Margin</t>
  </si>
  <si>
    <t>SG&amp;A</t>
  </si>
  <si>
    <t>EBITDA</t>
  </si>
  <si>
    <t>Depreciation</t>
  </si>
  <si>
    <t>Amortization</t>
  </si>
  <si>
    <t>Total D&amp;A</t>
  </si>
  <si>
    <t>Stock-Based Comp</t>
  </si>
  <si>
    <t>EBIT</t>
  </si>
  <si>
    <t>EBITA</t>
  </si>
  <si>
    <t>Interest (Income) / Expense</t>
  </si>
  <si>
    <t>Equity (Income)</t>
  </si>
  <si>
    <t>Minority Interest</t>
  </si>
  <si>
    <t>Other (Income) / Expense</t>
  </si>
  <si>
    <t>Income Before Taxes</t>
  </si>
  <si>
    <t>Provision for Tax</t>
  </si>
  <si>
    <t>% Tax Rate</t>
  </si>
  <si>
    <t>Cash Net Income</t>
  </si>
  <si>
    <t>Cash Diluted EPS</t>
  </si>
  <si>
    <t>Diluted Shares Out</t>
  </si>
  <si>
    <t>Cash to GAAP Reconciliation:</t>
  </si>
  <si>
    <t>One-Time Charges</t>
  </si>
  <si>
    <t>GAAP Net Income</t>
  </si>
  <si>
    <t>GAAP Diluted EPS</t>
  </si>
  <si>
    <t>Capex</t>
  </si>
  <si>
    <t>Operating Assumptions</t>
  </si>
  <si>
    <t>Revenue Growth</t>
  </si>
  <si>
    <t>Management Case</t>
  </si>
  <si>
    <t>Analyst Case</t>
  </si>
  <si>
    <t>Downside Case</t>
  </si>
  <si>
    <t>COGS (% of Sales)</t>
  </si>
  <si>
    <t>SG&amp;A (% of Sales)</t>
  </si>
  <si>
    <t>Other (% of Sales)</t>
  </si>
  <si>
    <t>Operating Performance Drivers</t>
  </si>
  <si>
    <t>COGS Savings</t>
  </si>
  <si>
    <t>SG&amp;A Savings</t>
  </si>
  <si>
    <t>Total Savings</t>
  </si>
  <si>
    <t>Income Statement</t>
  </si>
  <si>
    <t>Net Sales</t>
  </si>
  <si>
    <t>Other</t>
  </si>
  <si>
    <t>LTM Inputs</t>
  </si>
  <si>
    <t>Ended</t>
  </si>
  <si>
    <t>LTM</t>
  </si>
  <si>
    <t>Balance Sheet</t>
  </si>
  <si>
    <t>Historical</t>
  </si>
  <si>
    <t>Adjustments</t>
  </si>
  <si>
    <t>Pro Forma</t>
  </si>
  <si>
    <t>GAAP/</t>
  </si>
  <si>
    <t>Closing</t>
  </si>
  <si>
    <t>Financing</t>
  </si>
  <si>
    <t>Assets</t>
  </si>
  <si>
    <t>Cash &amp; Equivalents</t>
  </si>
  <si>
    <t>Accounts Receivable</t>
  </si>
  <si>
    <t>Inventories</t>
  </si>
  <si>
    <t>Deferred Income Taxes</t>
  </si>
  <si>
    <t>Prepaid Expenses &amp; Other</t>
  </si>
  <si>
    <t>Total Current Assets</t>
  </si>
  <si>
    <t>PP&amp;E, gross</t>
  </si>
  <si>
    <t>(Accumluated Depreciation)</t>
  </si>
  <si>
    <t>PP&amp;E, net</t>
  </si>
  <si>
    <t>Equity Investments</t>
  </si>
  <si>
    <t>Capitalized Financing Costs</t>
  </si>
  <si>
    <t>Goodwill, net</t>
  </si>
  <si>
    <t>Intangible Assets, net</t>
  </si>
  <si>
    <t>Operating Rights, net</t>
  </si>
  <si>
    <t>Other Long-Term Assets</t>
  </si>
  <si>
    <t>Total Assets</t>
  </si>
  <si>
    <t>Liabilities</t>
  </si>
  <si>
    <t>Short-Term Debt</t>
  </si>
  <si>
    <t>Accounts Payable</t>
  </si>
  <si>
    <t>Accrued Liabilities</t>
  </si>
  <si>
    <t>Client Deposits</t>
  </si>
  <si>
    <t>Other Current Liabilities</t>
  </si>
  <si>
    <t>Total Current Liabilities</t>
  </si>
  <si>
    <t>Capital Leases</t>
  </si>
  <si>
    <t>Other Long-Term Liabilities</t>
  </si>
  <si>
    <t>Existing LT Debt (excl. current portion)</t>
  </si>
  <si>
    <t>Total Liabilities</t>
  </si>
  <si>
    <t>Shareholders' Equity</t>
  </si>
  <si>
    <t>Existing Shareholders' Equity</t>
  </si>
  <si>
    <t>Additional Paid-In Capital</t>
  </si>
  <si>
    <t>Retained Earnings</t>
  </si>
  <si>
    <t>Total Shareholders' Equity</t>
  </si>
  <si>
    <t>Liabilities &amp; S/H Equity</t>
  </si>
  <si>
    <t>Check</t>
  </si>
  <si>
    <t>Ending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</si>
</sst>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_);\(0.0%\);0.0%_);@_)"/>
    <numFmt numFmtId="165" formatCode="0000\P"/>
    <numFmt numFmtId="166" formatCode="0.00%_);\(0.00%\);0.00%_);@_)"/>
    <numFmt numFmtId="167" formatCode="&quot;$&quot;#,##0.00_);\(&quot;$&quot;#,##0.00\);&quot;$&quot;#,##0.00_);@_)"/>
    <numFmt numFmtId="168" formatCode="&quot;$&quot;#,##0.0_);\(&quot;$&quot;#,##0.0\);&quot;$&quot;#,##0.0_);@_)"/>
    <numFmt numFmtId="169" formatCode="0.00\x_);\(0.00\x\);0.00\x_);@_)"/>
    <numFmt numFmtId="170" formatCode="#,##0.0_);\(#,##0.0\);#,##0.0_);@_)"/>
    <numFmt numFmtId="171" formatCode="#,##0.000_);\(#,##0.000\)"/>
    <numFmt numFmtId="172" formatCode="0.0%"/>
    <numFmt numFmtId="173" formatCode="&quot;L + &quot;0_)"/>
    <numFmt numFmtId="174" formatCode="#,##0.0_);\(#,##0.0\)"/>
    <numFmt numFmtId="175" formatCode="0.0\x_);\(0.0\x\);0.0\x_);@_)"/>
    <numFmt numFmtId="176" formatCode="&quot;yes&quot;;&quot;ERROR&quot;;&quot;no&quot;;&quot;ERROR&quot;"/>
    <numFmt numFmtId="177" formatCode="&quot;$&quot;#,##0.0_);\(&quot;$&quot;#,##0.0\)"/>
    <numFmt numFmtId="178" formatCode="&quot;Year &quot;0"/>
    <numFmt numFmtId="179" formatCode="#,##0.000_);\(#,##0.000\);#,##0.000_);@_)"/>
    <numFmt numFmtId="180" formatCode="#,##0.00_);\(#,##0.00\);#,##0.00_);@_)"/>
    <numFmt numFmtId="181" formatCode="0000\A"/>
    <numFmt numFmtId="182" formatCode="0000&quot;E&quot;"/>
    <numFmt numFmtId="183" formatCode="#,##0.0"/>
    <numFmt numFmtId="184" formatCode="#,##0.000000000000000"/>
    <numFmt numFmtId="185" formatCode="m/d/yyyy;@"/>
  </numFmts>
  <fonts count="26">
    <font>
      <sz val="10"/>
      <name val="Arial"/>
      <family val="0"/>
    </font>
    <font>
      <sz val="18"/>
      <color indexed="8"/>
      <name val="Arial"/>
      <family val="2"/>
    </font>
    <font>
      <i/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i/>
      <sz val="10"/>
      <name val="Arial"/>
      <family val="2"/>
    </font>
    <font>
      <i/>
      <sz val="10"/>
      <color indexed="12"/>
      <name val="Arial"/>
      <family val="2"/>
    </font>
    <font>
      <u val="single"/>
      <sz val="8"/>
      <color indexed="12"/>
      <name val="Arial"/>
      <family val="0"/>
    </font>
    <font>
      <sz val="10"/>
      <name val="MS Sans Serif"/>
      <family val="0"/>
    </font>
    <font>
      <sz val="8"/>
      <color indexed="8"/>
      <name val="Tahoma"/>
      <family val="0"/>
    </font>
    <font>
      <sz val="8"/>
      <name val="Arial"/>
      <family val="0"/>
    </font>
    <font>
      <i/>
      <sz val="16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0"/>
    </font>
    <font>
      <b/>
      <u val="single"/>
      <sz val="10"/>
      <name val="Arial"/>
      <family val="2"/>
    </font>
    <font>
      <i/>
      <sz val="10"/>
      <color indexed="17"/>
      <name val="Arial"/>
      <family val="2"/>
    </font>
    <font>
      <b/>
      <sz val="10"/>
      <color indexed="17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sz val="10"/>
      <color indexed="17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22"/>
      </top>
      <bottom style="double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centerContinuous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67" fontId="5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164" fontId="7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67" fontId="0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14" fontId="5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4" fontId="0" fillId="0" borderId="0" xfId="0" applyNumberFormat="1" applyFont="1" applyAlignment="1">
      <alignment/>
    </xf>
    <xf numFmtId="18" fontId="0" fillId="0" borderId="0" xfId="20" applyNumberFormat="1" applyFont="1" applyAlignment="1">
      <alignment horizontal="right"/>
      <protection/>
    </xf>
    <xf numFmtId="0" fontId="0" fillId="0" borderId="0" xfId="0" applyBorder="1" applyAlignment="1">
      <alignment horizontal="left"/>
    </xf>
    <xf numFmtId="0" fontId="12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4" fillId="0" borderId="0" xfId="0" applyFont="1" applyAlignment="1">
      <alignment horizontal="center"/>
    </xf>
    <xf numFmtId="181" fontId="4" fillId="0" borderId="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81" fontId="13" fillId="0" borderId="2" xfId="0" applyNumberFormat="1" applyFont="1" applyBorder="1" applyAlignment="1">
      <alignment horizontal="center"/>
    </xf>
    <xf numFmtId="165" fontId="14" fillId="0" borderId="2" xfId="0" applyNumberFormat="1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182" fontId="14" fillId="0" borderId="2" xfId="0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168" fontId="4" fillId="0" borderId="0" xfId="0" applyNumberFormat="1" applyFont="1" applyAlignment="1">
      <alignment/>
    </xf>
    <xf numFmtId="168" fontId="13" fillId="0" borderId="0" xfId="0" applyNumberFormat="1" applyFont="1" applyAlignment="1">
      <alignment/>
    </xf>
    <xf numFmtId="168" fontId="14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16" fillId="0" borderId="0" xfId="0" applyFont="1" applyAlignment="1">
      <alignment/>
    </xf>
    <xf numFmtId="170" fontId="0" fillId="0" borderId="0" xfId="0" applyNumberFormat="1" applyAlignment="1">
      <alignment/>
    </xf>
    <xf numFmtId="170" fontId="5" fillId="0" borderId="0" xfId="0" applyNumberFormat="1" applyFont="1" applyAlignment="1">
      <alignment/>
    </xf>
    <xf numFmtId="170" fontId="17" fillId="0" borderId="0" xfId="0" applyNumberFormat="1" applyFont="1" applyAlignment="1">
      <alignment/>
    </xf>
    <xf numFmtId="164" fontId="15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8" fontId="17" fillId="0" borderId="3" xfId="0" applyNumberFormat="1" applyFont="1" applyBorder="1" applyAlignment="1">
      <alignment/>
    </xf>
    <xf numFmtId="170" fontId="5" fillId="0" borderId="0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Border="1" applyAlignment="1">
      <alignment/>
    </xf>
    <xf numFmtId="168" fontId="14" fillId="0" borderId="0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6" fillId="0" borderId="0" xfId="0" applyFont="1" applyBorder="1" applyAlignment="1">
      <alignment/>
    </xf>
    <xf numFmtId="164" fontId="15" fillId="0" borderId="0" xfId="0" applyNumberFormat="1" applyFont="1" applyBorder="1" applyAlignment="1">
      <alignment horizontal="right"/>
    </xf>
    <xf numFmtId="0" fontId="6" fillId="0" borderId="6" xfId="0" applyFont="1" applyBorder="1" applyAlignment="1">
      <alignment/>
    </xf>
    <xf numFmtId="0" fontId="0" fillId="0" borderId="6" xfId="0" applyBorder="1" applyAlignment="1">
      <alignment/>
    </xf>
    <xf numFmtId="170" fontId="0" fillId="0" borderId="0" xfId="0" applyNumberFormat="1" applyBorder="1" applyAlignment="1">
      <alignment/>
    </xf>
    <xf numFmtId="170" fontId="5" fillId="0" borderId="0" xfId="0" applyNumberFormat="1" applyFont="1" applyBorder="1" applyAlignment="1">
      <alignment/>
    </xf>
    <xf numFmtId="170" fontId="17" fillId="0" borderId="0" xfId="0" applyNumberFormat="1" applyFont="1" applyBorder="1" applyAlignment="1">
      <alignment/>
    </xf>
    <xf numFmtId="170" fontId="0" fillId="0" borderId="6" xfId="0" applyNumberFormat="1" applyBorder="1" applyAlignment="1">
      <alignment/>
    </xf>
    <xf numFmtId="164" fontId="7" fillId="0" borderId="0" xfId="0" applyNumberFormat="1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NumberFormat="1" applyFont="1" applyFill="1" applyBorder="1" applyAlignment="1">
      <alignment/>
    </xf>
    <xf numFmtId="43" fontId="5" fillId="0" borderId="0" xfId="15" applyFont="1" applyAlignment="1">
      <alignment/>
    </xf>
    <xf numFmtId="43" fontId="17" fillId="0" borderId="0" xfId="15" applyFont="1" applyAlignment="1">
      <alignment/>
    </xf>
    <xf numFmtId="43" fontId="0" fillId="0" borderId="0" xfId="15" applyNumberFormat="1" applyAlignment="1">
      <alignment/>
    </xf>
    <xf numFmtId="170" fontId="5" fillId="0" borderId="0" xfId="15" applyNumberFormat="1" applyFont="1" applyAlignment="1">
      <alignment/>
    </xf>
    <xf numFmtId="43" fontId="0" fillId="0" borderId="0" xfId="15" applyFont="1" applyFill="1" applyBorder="1" applyAlignment="1" applyProtection="1">
      <alignment/>
      <protection/>
    </xf>
    <xf numFmtId="168" fontId="17" fillId="0" borderId="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0" fontId="4" fillId="0" borderId="9" xfId="0" applyFont="1" applyBorder="1" applyAlignment="1">
      <alignment/>
    </xf>
    <xf numFmtId="167" fontId="1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179" fontId="5" fillId="0" borderId="0" xfId="0" applyNumberFormat="1" applyFont="1" applyAlignment="1">
      <alignment/>
    </xf>
    <xf numFmtId="179" fontId="18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68" fontId="17" fillId="0" borderId="0" xfId="0" applyNumberFormat="1" applyFont="1" applyAlignment="1">
      <alignment/>
    </xf>
    <xf numFmtId="168" fontId="14" fillId="0" borderId="3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/>
    </xf>
    <xf numFmtId="177" fontId="17" fillId="0" borderId="3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0" fontId="0" fillId="0" borderId="0" xfId="0" applyFont="1" applyAlignment="1">
      <alignment horizontal="left"/>
    </xf>
    <xf numFmtId="178" fontId="4" fillId="0" borderId="0" xfId="0" applyNumberFormat="1" applyFont="1" applyAlignment="1">
      <alignment horizontal="center"/>
    </xf>
    <xf numFmtId="0" fontId="14" fillId="0" borderId="2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164" fontId="2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78" fontId="13" fillId="0" borderId="0" xfId="0" applyNumberFormat="1" applyFont="1" applyBorder="1" applyAlignment="1">
      <alignment horizontal="center"/>
    </xf>
    <xf numFmtId="0" fontId="21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22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177" fontId="0" fillId="0" borderId="3" xfId="0" applyNumberFormat="1" applyBorder="1" applyAlignment="1">
      <alignment/>
    </xf>
    <xf numFmtId="168" fontId="21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77" fontId="4" fillId="0" borderId="3" xfId="0" applyNumberFormat="1" applyFont="1" applyBorder="1" applyAlignment="1">
      <alignment/>
    </xf>
    <xf numFmtId="170" fontId="24" fillId="0" borderId="0" xfId="0" applyNumberFormat="1" applyFont="1" applyAlignment="1">
      <alignment/>
    </xf>
    <xf numFmtId="1" fontId="4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185" fontId="4" fillId="0" borderId="2" xfId="0" applyNumberFormat="1" applyFont="1" applyBorder="1" applyAlignment="1">
      <alignment horizontal="center"/>
    </xf>
    <xf numFmtId="0" fontId="14" fillId="0" borderId="2" xfId="0" applyNumberFormat="1" applyFont="1" applyBorder="1" applyAlignment="1">
      <alignment horizontal="centerContinuous"/>
    </xf>
    <xf numFmtId="14" fontId="14" fillId="0" borderId="2" xfId="0" applyNumberFormat="1" applyFont="1" applyBorder="1" applyAlignment="1">
      <alignment horizontal="center"/>
    </xf>
    <xf numFmtId="168" fontId="17" fillId="0" borderId="3" xfId="0" applyNumberFormat="1" applyFont="1" applyFill="1" applyBorder="1" applyAlignment="1">
      <alignment/>
    </xf>
    <xf numFmtId="168" fontId="5" fillId="0" borderId="3" xfId="0" applyNumberFormat="1" applyFont="1" applyBorder="1" applyAlignment="1">
      <alignment/>
    </xf>
    <xf numFmtId="168" fontId="0" fillId="0" borderId="3" xfId="0" applyNumberFormat="1" applyFont="1" applyBorder="1" applyAlignment="1">
      <alignment/>
    </xf>
    <xf numFmtId="174" fontId="17" fillId="0" borderId="0" xfId="0" applyNumberFormat="1" applyFont="1" applyAlignment="1">
      <alignment/>
    </xf>
    <xf numFmtId="168" fontId="14" fillId="0" borderId="11" xfId="0" applyNumberFormat="1" applyFont="1" applyBorder="1" applyAlignment="1">
      <alignment/>
    </xf>
    <xf numFmtId="168" fontId="17" fillId="0" borderId="0" xfId="0" applyNumberFormat="1" applyFont="1" applyAlignment="1">
      <alignment/>
    </xf>
    <xf numFmtId="168" fontId="17" fillId="0" borderId="3" xfId="0" applyNumberFormat="1" applyFont="1" applyBorder="1" applyAlignment="1">
      <alignment/>
    </xf>
    <xf numFmtId="179" fontId="1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eevers_Clean Stub Long Form Model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9"/>
  <sheetViews>
    <sheetView showGridLines="0" tabSelected="1" zoomScale="80" zoomScaleNormal="80" workbookViewId="0" topLeftCell="A40">
      <selection activeCell="A47" sqref="A47"/>
    </sheetView>
  </sheetViews>
  <sheetFormatPr defaultColWidth="9.140625" defaultRowHeight="12.75"/>
  <cols>
    <col min="1" max="2" width="1.7109375" style="0" customWidth="1"/>
    <col min="3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  <col min="22" max="22" width="1.7109375" style="0" customWidth="1"/>
    <col min="23" max="23" width="9.7109375" style="0" customWidth="1"/>
    <col min="24" max="24" width="1.7109375" style="0" customWidth="1"/>
    <col min="25" max="25" width="9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9.7109375" style="0" customWidth="1"/>
    <col min="30" max="30" width="1.7109375" style="0" customWidth="1"/>
    <col min="32" max="32" width="1.7109375" style="0" customWidth="1"/>
    <col min="34" max="34" width="1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</cols>
  <sheetData>
    <row r="1" spans="1:15" ht="24" customHeight="1" thickBot="1">
      <c r="A1" s="1" t="str">
        <f>O6&amp;" LBO Valuation"</f>
        <v>TargetCo LBO Valuation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2.75">
      <c r="A2" s="3" t="s">
        <v>0</v>
      </c>
    </row>
    <row r="4" spans="1:15" ht="13.5" customHeight="1">
      <c r="A4" s="4" t="s">
        <v>1</v>
      </c>
      <c r="B4" s="4"/>
      <c r="C4" s="4"/>
      <c r="D4" s="4"/>
      <c r="E4" s="4"/>
      <c r="F4" s="4"/>
      <c r="G4" s="4"/>
      <c r="I4" s="4" t="s">
        <v>13</v>
      </c>
      <c r="J4" s="4"/>
      <c r="K4" s="4"/>
      <c r="L4" s="4"/>
      <c r="M4" s="4"/>
      <c r="N4" s="4"/>
      <c r="O4" s="4"/>
    </row>
    <row r="6" spans="1:15" ht="12.75" customHeight="1">
      <c r="A6" t="s">
        <v>2</v>
      </c>
      <c r="G6" s="7">
        <v>12.81</v>
      </c>
      <c r="I6" t="s">
        <v>14</v>
      </c>
      <c r="O6" s="15" t="s">
        <v>15</v>
      </c>
    </row>
    <row r="7" spans="1:15" s="6" customFormat="1" ht="13.5" customHeight="1">
      <c r="A7" t="s">
        <v>3</v>
      </c>
      <c r="B7"/>
      <c r="C7"/>
      <c r="D7"/>
      <c r="E7"/>
      <c r="F7"/>
      <c r="G7" s="9">
        <v>0.25</v>
      </c>
      <c r="I7" t="s">
        <v>16</v>
      </c>
      <c r="J7"/>
      <c r="K7"/>
      <c r="L7"/>
      <c r="M7"/>
      <c r="N7"/>
      <c r="O7" s="15" t="s">
        <v>19</v>
      </c>
    </row>
    <row r="8" spans="2:15" ht="13.5" customHeight="1">
      <c r="B8" s="5" t="s">
        <v>4</v>
      </c>
      <c r="C8" s="5"/>
      <c r="D8" s="5"/>
      <c r="E8" s="5"/>
      <c r="F8" s="5"/>
      <c r="G8" s="11">
        <f>G6*(1+G7)</f>
        <v>16.0125</v>
      </c>
      <c r="O8" s="15" t="s">
        <v>20</v>
      </c>
    </row>
    <row r="9" spans="9:15" ht="12.75">
      <c r="I9" t="s">
        <v>17</v>
      </c>
      <c r="M9" s="16">
        <f ca="1">NOW()</f>
        <v>39979.62413379629</v>
      </c>
      <c r="O9" s="17">
        <f ca="1">NOW()</f>
        <v>39979.62413379629</v>
      </c>
    </row>
    <row r="10" spans="1:14" s="10" customFormat="1" ht="13.5" customHeight="1">
      <c r="A10" s="4" t="s">
        <v>60</v>
      </c>
      <c r="B10" s="4"/>
      <c r="C10" s="4"/>
      <c r="D10" s="4"/>
      <c r="E10" s="4"/>
      <c r="F10" s="4"/>
      <c r="G10" s="4"/>
      <c r="I10" t="s">
        <v>18</v>
      </c>
      <c r="J10"/>
      <c r="K10" s="81" t="str">
        <f ca="1">CELL("filename")</f>
        <v>C:\Documents and Settings\Administrator\My Documents\LBO\[bs-setup.xls]LBO</v>
      </c>
      <c r="L10" s="81"/>
      <c r="M10"/>
      <c r="N10"/>
    </row>
    <row r="11" ht="12.75" customHeight="1"/>
    <row r="12" spans="1:15" ht="12.75" customHeight="1">
      <c r="A12" t="str">
        <f>"Operating Case: "&amp;B108</f>
        <v>Operating Case: Analyst Case</v>
      </c>
      <c r="G12" s="90">
        <v>2</v>
      </c>
      <c r="I12" s="6"/>
      <c r="J12" s="6"/>
      <c r="K12" s="6"/>
      <c r="L12" s="6"/>
      <c r="M12" s="6"/>
      <c r="N12" s="6"/>
      <c r="O12" s="6"/>
    </row>
    <row r="13" spans="9:15" ht="13.5" customHeight="1">
      <c r="I13" s="10"/>
      <c r="J13" s="10"/>
      <c r="K13" s="10"/>
      <c r="L13" s="10"/>
      <c r="M13" s="10"/>
      <c r="N13" s="10"/>
      <c r="O13" s="10"/>
    </row>
    <row r="14" spans="1:15" ht="13.5" customHeight="1">
      <c r="A14" t="s">
        <v>61</v>
      </c>
      <c r="G14" s="78">
        <v>10</v>
      </c>
      <c r="I14" s="10"/>
      <c r="J14" s="10"/>
      <c r="K14" s="10"/>
      <c r="L14" s="10"/>
      <c r="M14" s="10"/>
      <c r="N14" s="10"/>
      <c r="O14" s="10"/>
    </row>
    <row r="15" spans="1:15" ht="13.5" customHeight="1" thickBot="1">
      <c r="A15" t="s">
        <v>62</v>
      </c>
      <c r="G15" s="92">
        <v>20</v>
      </c>
      <c r="I15" s="10"/>
      <c r="J15" s="10"/>
      <c r="K15" s="10"/>
      <c r="L15" s="10"/>
      <c r="M15" s="10"/>
      <c r="N15" s="10"/>
      <c r="O15" s="10"/>
    </row>
    <row r="16" spans="2:15" ht="13.5" customHeight="1">
      <c r="B16" t="s">
        <v>63</v>
      </c>
      <c r="G16" s="93">
        <f>SUM(G14:G15)</f>
        <v>30</v>
      </c>
      <c r="I16" s="10"/>
      <c r="J16" s="10"/>
      <c r="K16" s="10"/>
      <c r="L16" s="10"/>
      <c r="M16" s="10"/>
      <c r="N16" s="10"/>
      <c r="O16" s="10"/>
    </row>
    <row r="17" spans="9:15" ht="13.5" customHeight="1">
      <c r="I17" s="10"/>
      <c r="J17" s="10"/>
      <c r="K17" s="10"/>
      <c r="L17" s="10"/>
      <c r="M17" s="10"/>
      <c r="N17" s="10"/>
      <c r="O17" s="10"/>
    </row>
    <row r="18" spans="1:7" ht="13.5" customHeight="1">
      <c r="A18" s="4" t="s">
        <v>5</v>
      </c>
      <c r="B18" s="4"/>
      <c r="C18" s="4"/>
      <c r="D18" s="4"/>
      <c r="E18" s="4"/>
      <c r="F18" s="4"/>
      <c r="G18" s="4"/>
    </row>
    <row r="19" ht="13.5" customHeight="1"/>
    <row r="20" spans="1:7" ht="13.5" customHeight="1">
      <c r="A20" s="8" t="s">
        <v>6</v>
      </c>
      <c r="G20" s="13">
        <v>39355</v>
      </c>
    </row>
    <row r="21" spans="1:7" ht="12.75">
      <c r="A21" s="8" t="s">
        <v>7</v>
      </c>
      <c r="G21" s="13">
        <v>39538</v>
      </c>
    </row>
    <row r="22" spans="1:7" ht="12.75">
      <c r="A22" s="8" t="s">
        <v>8</v>
      </c>
      <c r="G22" s="13">
        <v>39585</v>
      </c>
    </row>
    <row r="23" spans="1:7" ht="12.75">
      <c r="A23" s="8" t="s">
        <v>9</v>
      </c>
      <c r="G23" s="13">
        <v>39660</v>
      </c>
    </row>
    <row r="24" spans="1:7" ht="12.75">
      <c r="A24" s="8" t="s">
        <v>10</v>
      </c>
      <c r="G24" s="14">
        <f>ROUND((MONTH(G21)-MONTH(G20)+12*(YEAR(G21)-YEAR(G20))),0)</f>
        <v>6</v>
      </c>
    </row>
    <row r="25" spans="1:7" ht="12.75">
      <c r="A25" s="8" t="s">
        <v>11</v>
      </c>
      <c r="G25" s="14">
        <f>ROUND((MONTH(G20)-MONTH(G23)+12*(YEAR(G20)+1-YEAR(G23))),0)</f>
        <v>2</v>
      </c>
    </row>
    <row r="26" spans="1:7" ht="12.75">
      <c r="A26" s="10"/>
      <c r="B26" s="18" t="s">
        <v>12</v>
      </c>
      <c r="G26" s="12">
        <f>G25/12</f>
        <v>0.16666666666666666</v>
      </c>
    </row>
    <row r="28" spans="1:39" ht="13.5" customHeight="1" thickBot="1">
      <c r="A28" s="4" t="s">
        <v>64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K28" s="21" t="s">
        <v>67</v>
      </c>
      <c r="AL28" s="21"/>
      <c r="AM28" s="21"/>
    </row>
    <row r="29" spans="1:39" ht="12.75">
      <c r="A29" s="3" t="str">
        <f>$A$2</f>
        <v>($ in millions, except per share data)</v>
      </c>
      <c r="AK29" s="23" t="str">
        <f>G24&amp;" Mos."</f>
        <v>6 Mos.</v>
      </c>
      <c r="AM29" s="23" t="str">
        <f>AK29</f>
        <v>6 Mos.</v>
      </c>
    </row>
    <row r="30" spans="13:39" ht="13.5" thickBot="1">
      <c r="M30" s="23" t="s">
        <v>69</v>
      </c>
      <c r="O30" s="23" t="str">
        <f>G25&amp;" Mos."</f>
        <v>2 Mos.</v>
      </c>
      <c r="Q30" s="21" t="str">
        <f>Q100</f>
        <v>Projected Fiscal Years Ending September 30,</v>
      </c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K30" s="23" t="s">
        <v>68</v>
      </c>
      <c r="AM30" s="23" t="str">
        <f>AK30</f>
        <v>Ended</v>
      </c>
    </row>
    <row r="31" spans="11:39" ht="12.75">
      <c r="K31" s="82">
        <f>Q31-1</f>
        <v>0</v>
      </c>
      <c r="M31" s="23" t="s">
        <v>68</v>
      </c>
      <c r="O31" s="23" t="s">
        <v>112</v>
      </c>
      <c r="Q31" s="82">
        <f>Q101</f>
        <v>1</v>
      </c>
      <c r="S31" s="82">
        <f>S101</f>
        <v>2</v>
      </c>
      <c r="U31" s="82">
        <f>U101</f>
        <v>3</v>
      </c>
      <c r="W31" s="82">
        <f>W101</f>
        <v>4</v>
      </c>
      <c r="Y31" s="82">
        <f>Y101</f>
        <v>5</v>
      </c>
      <c r="AA31" s="82">
        <f>AA101</f>
        <v>6</v>
      </c>
      <c r="AC31" s="82">
        <f>AC101</f>
        <v>7</v>
      </c>
      <c r="AE31" s="82">
        <f>AE101</f>
        <v>8</v>
      </c>
      <c r="AG31" s="82">
        <f>AG101</f>
        <v>9</v>
      </c>
      <c r="AI31" s="82">
        <f>AI101</f>
        <v>10</v>
      </c>
      <c r="AK31" s="23" t="str">
        <f>TEXT(ltm_date,"mmm d")</f>
        <v>Mar 31</v>
      </c>
      <c r="AL31" s="6"/>
      <c r="AM31" s="23" t="str">
        <f>AK31</f>
        <v>Mar 31</v>
      </c>
    </row>
    <row r="32" spans="11:39" ht="13.5" thickBot="1">
      <c r="K32" s="83">
        <f>Q32-1</f>
        <v>2007</v>
      </c>
      <c r="M32" s="100">
        <f>ltm_date</f>
        <v>39538</v>
      </c>
      <c r="O32" s="98" t="str">
        <f>MONTH(fye)&amp;"/"&amp;DAY(fye)&amp;"/"&amp;YEAR(fye)+1</f>
        <v>9/30/2008</v>
      </c>
      <c r="Q32" s="83">
        <f>Q102</f>
        <v>2008</v>
      </c>
      <c r="S32" s="83">
        <f>S102</f>
        <v>2009</v>
      </c>
      <c r="U32" s="83">
        <f>U102</f>
        <v>2010</v>
      </c>
      <c r="W32" s="83">
        <f>W102</f>
        <v>2011</v>
      </c>
      <c r="Y32" s="83">
        <f>Y102</f>
        <v>2012</v>
      </c>
      <c r="AA32" s="83">
        <f>AA102</f>
        <v>2013</v>
      </c>
      <c r="AC32" s="83">
        <f>AC102</f>
        <v>2014</v>
      </c>
      <c r="AE32" s="83">
        <f>AE102</f>
        <v>2015</v>
      </c>
      <c r="AG32" s="83">
        <f>AG102</f>
        <v>2016</v>
      </c>
      <c r="AI32" s="83">
        <f>AI102</f>
        <v>2017</v>
      </c>
      <c r="AK32" s="98">
        <f>AM32-1</f>
        <v>2007</v>
      </c>
      <c r="AM32" s="98" t="str">
        <f>TEXT(ltm_date,"YYYY")</f>
        <v>2008</v>
      </c>
    </row>
    <row r="34" spans="1:39" ht="12.75">
      <c r="A34" s="10" t="s">
        <v>65</v>
      </c>
      <c r="B34" s="10"/>
      <c r="K34" s="94">
        <f>'Target P&amp;L'!K7</f>
        <v>402.5</v>
      </c>
      <c r="M34" s="31">
        <f>K34+AM34-AK34</f>
        <v>420.4</v>
      </c>
      <c r="O34" s="31">
        <f>Q34*stub</f>
        <v>76.35</v>
      </c>
      <c r="Q34" s="31">
        <f>K34*(1+Q35)</f>
        <v>458.09999999999997</v>
      </c>
      <c r="S34" s="31">
        <f>Q34*(1+S35)</f>
        <v>467.99999999999994</v>
      </c>
      <c r="U34" s="31">
        <f>S34*(1+U35)</f>
        <v>470.49999999999994</v>
      </c>
      <c r="W34" s="31">
        <f>U34*(1+W35)</f>
        <v>475.2049999999999</v>
      </c>
      <c r="Y34" s="31">
        <f>W34*(1+Y35)</f>
        <v>479.9570499999999</v>
      </c>
      <c r="AA34" s="31">
        <f>Y34*(1+AA35)</f>
        <v>484.75662049999994</v>
      </c>
      <c r="AC34" s="31">
        <f>AA34*(1+AC35)</f>
        <v>489.60418670499996</v>
      </c>
      <c r="AE34" s="31">
        <f>AC34*(1+AE35)</f>
        <v>494.50022857205</v>
      </c>
      <c r="AG34" s="31">
        <f>AE34*(1+AG35)</f>
        <v>499.44523085777047</v>
      </c>
      <c r="AI34" s="31">
        <f>AG34*(1+AI35)</f>
        <v>504.4396831663482</v>
      </c>
      <c r="AK34" s="32">
        <v>197.4</v>
      </c>
      <c r="AL34" s="10"/>
      <c r="AM34" s="32">
        <v>215.3</v>
      </c>
    </row>
    <row r="35" spans="1:39" ht="12.75">
      <c r="A35" s="20"/>
      <c r="B35" s="20" t="s">
        <v>23</v>
      </c>
      <c r="K35" s="86">
        <f>'Target P&amp;L'!I8</f>
        <v>0.026968716289104577</v>
      </c>
      <c r="M35" s="99" t="s">
        <v>24</v>
      </c>
      <c r="O35" s="99" t="s">
        <v>24</v>
      </c>
      <c r="Q35" s="68">
        <f>Q108</f>
        <v>0.1381366459627329</v>
      </c>
      <c r="S35" s="68">
        <f>S108</f>
        <v>0.0216110019646365</v>
      </c>
      <c r="U35" s="68">
        <f>U108</f>
        <v>0.005341880341880323</v>
      </c>
      <c r="W35" s="68">
        <f>W108</f>
        <v>0.01</v>
      </c>
      <c r="Y35" s="68">
        <f>Y108</f>
        <v>0.01</v>
      </c>
      <c r="AA35" s="68">
        <f>AA108</f>
        <v>0.01</v>
      </c>
      <c r="AC35" s="68">
        <f>AC108</f>
        <v>0.01</v>
      </c>
      <c r="AE35" s="68">
        <f>AE108</f>
        <v>0.01</v>
      </c>
      <c r="AG35" s="68">
        <f>AG108</f>
        <v>0.01</v>
      </c>
      <c r="AI35" s="68">
        <f>AI108</f>
        <v>0.01</v>
      </c>
      <c r="AK35" s="99" t="s">
        <v>24</v>
      </c>
      <c r="AM35" s="34">
        <f>AM34/AK34-1</f>
        <v>0.0906788247213779</v>
      </c>
    </row>
    <row r="36" spans="1:2" ht="4.5" customHeight="1">
      <c r="A36" s="20"/>
      <c r="B36" s="20"/>
    </row>
    <row r="37" spans="1:39" ht="12.75">
      <c r="A37" t="s">
        <v>25</v>
      </c>
      <c r="K37" s="97">
        <f>'Target P&amp;L'!K10</f>
        <v>207.7</v>
      </c>
      <c r="M37" s="95">
        <f>K37+AM37-AK37</f>
        <v>219.3</v>
      </c>
      <c r="O37" s="95">
        <f>Q37*stub</f>
        <v>39.93333333333333</v>
      </c>
      <c r="Q37" s="95">
        <f>Q38*Q$34</f>
        <v>239.6</v>
      </c>
      <c r="S37" s="95">
        <f>S38*S$34</f>
        <v>239.79999999999995</v>
      </c>
      <c r="U37" s="95">
        <f>U38*U$34</f>
        <v>242.19999999999993</v>
      </c>
      <c r="W37" s="95">
        <f>W38*W$34</f>
        <v>244.72199999999995</v>
      </c>
      <c r="Y37" s="95">
        <f>Y38*Y$34</f>
        <v>247.26921999999996</v>
      </c>
      <c r="AA37" s="95">
        <f>AA38*AA$34</f>
        <v>249.84191219999994</v>
      </c>
      <c r="AC37" s="95">
        <f>AC38*AC$34</f>
        <v>252.44033132199996</v>
      </c>
      <c r="AE37" s="95">
        <f>AE38*AE$34</f>
        <v>255.06473463521996</v>
      </c>
      <c r="AG37" s="95">
        <f>AG38*AG$34</f>
        <v>257.71538198157214</v>
      </c>
      <c r="AI37" s="95">
        <f>AI38*AI$34</f>
        <v>260.3925358013879</v>
      </c>
      <c r="AK37" s="39">
        <v>100.8</v>
      </c>
      <c r="AM37" s="39">
        <v>112.4</v>
      </c>
    </row>
    <row r="38" spans="1:39" ht="12.75">
      <c r="A38" s="68"/>
      <c r="B38" s="68" t="s">
        <v>26</v>
      </c>
      <c r="K38" s="68">
        <f>K37/K$34</f>
        <v>0.5160248447204968</v>
      </c>
      <c r="M38" s="68">
        <f>M37/M$34</f>
        <v>0.5216460513796385</v>
      </c>
      <c r="O38" s="68">
        <f>O37/O$34</f>
        <v>0.5230299061340319</v>
      </c>
      <c r="Q38" s="68">
        <f>Q115</f>
        <v>0.5230299061340319</v>
      </c>
      <c r="S38" s="68">
        <f>(S115*S34-$G$14)/S34</f>
        <v>0.5123931623931623</v>
      </c>
      <c r="U38" s="68">
        <f>(U115*U34-$G$14)/U34</f>
        <v>0.5147715196599362</v>
      </c>
      <c r="W38" s="68">
        <f>(W115*W34-$G$14)/W34</f>
        <v>0.5149819551561957</v>
      </c>
      <c r="Y38" s="68">
        <f>(Y115*Y34-$G$14)/Y34</f>
        <v>0.5151903071326903</v>
      </c>
      <c r="AA38" s="68">
        <f>(AA115*AA34-$G$14)/AA34</f>
        <v>0.5153965962183285</v>
      </c>
      <c r="AC38" s="68">
        <f>(AC115*AC34-$G$14)/AC34</f>
        <v>0.5156008428377722</v>
      </c>
      <c r="AE38" s="68">
        <f>(AE115*AE34-$G$14)/AE34</f>
        <v>0.515803067213459</v>
      </c>
      <c r="AG38" s="68">
        <f>(AG115*AG34-$G$14)/AG34</f>
        <v>0.5160032893676044</v>
      </c>
      <c r="AI38" s="68">
        <f>(AI115*AI34-$G$14)/AI34</f>
        <v>0.5162015291241842</v>
      </c>
      <c r="AK38" s="34">
        <f>AK37/AK$34</f>
        <v>0.5106382978723404</v>
      </c>
      <c r="AM38" s="34">
        <f>AM37/AM$34</f>
        <v>0.5220622387366466</v>
      </c>
    </row>
    <row r="39" spans="1:39" ht="12.75">
      <c r="A39" t="s">
        <v>29</v>
      </c>
      <c r="K39" s="97">
        <f>'Target P&amp;L'!K15</f>
        <v>74.8</v>
      </c>
      <c r="M39" s="95">
        <f>K39+AM39-AK39</f>
        <v>80.5</v>
      </c>
      <c r="O39" s="95">
        <f>Q39*stub</f>
        <v>14.716666666666663</v>
      </c>
      <c r="Q39" s="95">
        <f>Q40*Q$34</f>
        <v>88.29999999999998</v>
      </c>
      <c r="S39" s="95">
        <f>S40*S$34</f>
        <v>71.69999999999999</v>
      </c>
      <c r="U39" s="95">
        <f>U40*U$34</f>
        <v>72.39999999999999</v>
      </c>
      <c r="W39" s="95">
        <f>W40*W$34</f>
        <v>73.32399999999998</v>
      </c>
      <c r="Y39" s="95">
        <f>Y40*Y$34</f>
        <v>74.25723999999998</v>
      </c>
      <c r="AA39" s="95">
        <f>AA40*AA$34</f>
        <v>75.19981239999998</v>
      </c>
      <c r="AC39" s="95">
        <f>AC40*AC$34</f>
        <v>76.151810524</v>
      </c>
      <c r="AE39" s="95">
        <f>AE40*AE$34</f>
        <v>77.11332862924</v>
      </c>
      <c r="AG39" s="95">
        <f>AG40*AG$34</f>
        <v>78.0844619155324</v>
      </c>
      <c r="AI39" s="95">
        <f>AI40*AI$34</f>
        <v>79.06530653468772</v>
      </c>
      <c r="AK39" s="39">
        <v>35.5</v>
      </c>
      <c r="AM39" s="39">
        <v>41.2</v>
      </c>
    </row>
    <row r="40" spans="1:39" ht="12.75">
      <c r="A40" s="68"/>
      <c r="B40" s="68" t="s">
        <v>26</v>
      </c>
      <c r="K40" s="68">
        <f>K39/K$34</f>
        <v>0.18583850931677018</v>
      </c>
      <c r="M40" s="68">
        <f>M39/M$34</f>
        <v>0.19148430066603236</v>
      </c>
      <c r="O40" s="68">
        <f>O39/O$34</f>
        <v>0.1927526740886269</v>
      </c>
      <c r="Q40" s="68">
        <f>Q122</f>
        <v>0.19275267408862692</v>
      </c>
      <c r="S40" s="68">
        <f>(S122*S34-$G$15)/S34</f>
        <v>0.1532051282051282</v>
      </c>
      <c r="U40" s="68">
        <f>(U122*U34-$G$15)/U34</f>
        <v>0.1538788522848034</v>
      </c>
      <c r="W40" s="68">
        <f>(W122*W34-$G$15)/W34</f>
        <v>0.15429972327732241</v>
      </c>
      <c r="Y40" s="68">
        <f>(Y122*Y34-$G$15)/Y34</f>
        <v>0.15471642723031154</v>
      </c>
      <c r="AA40" s="68">
        <f>(AA122*AA34-$G$15)/AA34</f>
        <v>0.1551290054015879</v>
      </c>
      <c r="AC40" s="68">
        <f>(AC122*AC34-$G$15)/AC34</f>
        <v>0.15553749864047542</v>
      </c>
      <c r="AE40" s="68">
        <f>(AE122*AE34-$G$15)/AE34</f>
        <v>0.15594194739184916</v>
      </c>
      <c r="AG40" s="68">
        <f>(AG122*AG34-$G$15)/AG34</f>
        <v>0.15634239170014</v>
      </c>
      <c r="AI40" s="68">
        <f>(AI122*AI34-$G$15)/AI34</f>
        <v>0.15673887121329924</v>
      </c>
      <c r="AK40" s="34">
        <f>AK39/AK$34</f>
        <v>0.17983789260385005</v>
      </c>
      <c r="AM40" s="34">
        <f>AM39/AM$34</f>
        <v>0.19136089177891316</v>
      </c>
    </row>
    <row r="41" spans="1:39" ht="12.75">
      <c r="A41" t="s">
        <v>66</v>
      </c>
      <c r="K41" s="39">
        <v>0</v>
      </c>
      <c r="M41" s="95">
        <f>K41+AM41-AK41</f>
        <v>0</v>
      </c>
      <c r="O41" s="95">
        <f>Q41*stub</f>
        <v>0</v>
      </c>
      <c r="Q41" s="95">
        <f>Q42*Q$34</f>
        <v>0</v>
      </c>
      <c r="S41" s="95">
        <f>S42*S$34</f>
        <v>0</v>
      </c>
      <c r="U41" s="95">
        <f>U42*U$34</f>
        <v>0</v>
      </c>
      <c r="W41" s="95">
        <f>W42*W$34</f>
        <v>0</v>
      </c>
      <c r="Y41" s="95">
        <f>Y42*Y$34</f>
        <v>0</v>
      </c>
      <c r="AA41" s="95">
        <f>AA42*AA$34</f>
        <v>0</v>
      </c>
      <c r="AC41" s="95">
        <f>AC42*AC$34</f>
        <v>0</v>
      </c>
      <c r="AE41" s="95">
        <f>AE42*AE$34</f>
        <v>0</v>
      </c>
      <c r="AG41" s="95">
        <f>AG42*AG$34</f>
        <v>0</v>
      </c>
      <c r="AI41" s="95">
        <f>AI42*AI$34</f>
        <v>0</v>
      </c>
      <c r="AK41" s="39">
        <v>0</v>
      </c>
      <c r="AM41" s="39">
        <v>0</v>
      </c>
    </row>
    <row r="42" spans="1:39" ht="12.75">
      <c r="A42" s="68"/>
      <c r="B42" s="68" t="s">
        <v>26</v>
      </c>
      <c r="K42" s="68">
        <f>K41/K$34</f>
        <v>0</v>
      </c>
      <c r="M42" s="68">
        <f>M41/M$34</f>
        <v>0</v>
      </c>
      <c r="O42" s="68">
        <f>O41/O$34</f>
        <v>0</v>
      </c>
      <c r="Q42" s="68">
        <f>Q129</f>
        <v>0</v>
      </c>
      <c r="S42" s="68">
        <f>S129</f>
        <v>0</v>
      </c>
      <c r="U42" s="68">
        <f>U129</f>
        <v>0</v>
      </c>
      <c r="W42" s="68">
        <f>W129</f>
        <v>0</v>
      </c>
      <c r="Y42" s="68">
        <f>Y129</f>
        <v>0</v>
      </c>
      <c r="AA42" s="68">
        <f>AA129</f>
        <v>0</v>
      </c>
      <c r="AC42" s="68">
        <f>AC129</f>
        <v>0</v>
      </c>
      <c r="AE42" s="68">
        <f>AE129</f>
        <v>0</v>
      </c>
      <c r="AG42" s="68">
        <f>AG129</f>
        <v>0</v>
      </c>
      <c r="AI42" s="68">
        <f>AI129</f>
        <v>0</v>
      </c>
      <c r="AK42" s="34">
        <f>AK41/AK$34</f>
        <v>0</v>
      </c>
      <c r="AM42" s="34">
        <f>AM41/AM$34</f>
        <v>0</v>
      </c>
    </row>
    <row r="43" spans="1:2" ht="4.5" customHeight="1" thickBot="1">
      <c r="A43" s="68"/>
      <c r="B43" s="68"/>
    </row>
    <row r="44" spans="1:39" ht="12.75">
      <c r="A44" s="10" t="s">
        <v>30</v>
      </c>
      <c r="B44" s="10"/>
      <c r="K44" s="96">
        <f>K34-K37-K39-K41</f>
        <v>120.00000000000001</v>
      </c>
      <c r="M44" s="96">
        <f>M34-M37-M39-M41</f>
        <v>120.59999999999997</v>
      </c>
      <c r="O44" s="96">
        <f>O34-O37-O39-O41</f>
        <v>21.700000000000003</v>
      </c>
      <c r="Q44" s="96">
        <f>Q34-Q37-Q39-Q41</f>
        <v>130.2</v>
      </c>
      <c r="S44" s="96">
        <f>S34-S37-S39-S41</f>
        <v>156.5</v>
      </c>
      <c r="U44" s="96">
        <f>U34-U37-U39-U41</f>
        <v>155.90000000000003</v>
      </c>
      <c r="W44" s="96">
        <f>W34-W37-W39-W41</f>
        <v>157.159</v>
      </c>
      <c r="Y44" s="96">
        <f>Y34-Y37-Y39-Y41</f>
        <v>158.43059</v>
      </c>
      <c r="AA44" s="96">
        <f>AA34-AA37-AA39-AA41</f>
        <v>159.71489590000002</v>
      </c>
      <c r="AC44" s="96">
        <f>AC34-AC37-AC39-AC41</f>
        <v>161.012044859</v>
      </c>
      <c r="AE44" s="96">
        <f>AE34-AE37-AE39-AE41</f>
        <v>162.32216530759</v>
      </c>
      <c r="AG44" s="96">
        <f>AG34-AG37-AG39-AG41</f>
        <v>163.64538696066592</v>
      </c>
      <c r="AI44" s="96">
        <f>AI34-AI37-AI39-AI41</f>
        <v>164.98184083027255</v>
      </c>
      <c r="AK44" s="96">
        <f>AK34-AK37-AK39-AK41</f>
        <v>61.10000000000001</v>
      </c>
      <c r="AL44" s="10"/>
      <c r="AM44" s="96">
        <f>AM34-AM37-AM39-AM41</f>
        <v>61.7</v>
      </c>
    </row>
    <row r="45" spans="1:39" ht="12.75">
      <c r="A45" s="68"/>
      <c r="B45" s="68" t="s">
        <v>28</v>
      </c>
      <c r="K45" s="68">
        <f>K44/K$34</f>
        <v>0.2981366459627329</v>
      </c>
      <c r="M45" s="68">
        <f>M44/M$34</f>
        <v>0.2868696479543291</v>
      </c>
      <c r="O45" s="68">
        <f>O44/O$34</f>
        <v>0.2842174197773413</v>
      </c>
      <c r="Q45" s="68">
        <f>Q44/Q$34</f>
        <v>0.28421741977734116</v>
      </c>
      <c r="S45" s="68">
        <f>S44/S$34</f>
        <v>0.33440170940170943</v>
      </c>
      <c r="U45" s="68">
        <f>U44/U$34</f>
        <v>0.33134962805526047</v>
      </c>
      <c r="W45" s="68">
        <f>W44/W$34</f>
        <v>0.33071832156648184</v>
      </c>
      <c r="Y45" s="68">
        <f>Y44/Y$34</f>
        <v>0.3300932656369982</v>
      </c>
      <c r="AA45" s="68">
        <f>AA44/AA$34</f>
        <v>0.3294743983800837</v>
      </c>
      <c r="AC45" s="68">
        <f>AC44/AC$34</f>
        <v>0.3288616585217524</v>
      </c>
      <c r="AE45" s="68">
        <f>AE44/AE$34</f>
        <v>0.3282549853946918</v>
      </c>
      <c r="AG45" s="68">
        <f>AG44/AG$34</f>
        <v>0.32765431893225555</v>
      </c>
      <c r="AI45" s="68">
        <f>AI44/AI$34</f>
        <v>0.3270595996625166</v>
      </c>
      <c r="AK45" s="34">
        <f>AK44/AK$34</f>
        <v>0.30952380952380953</v>
      </c>
      <c r="AM45" s="34">
        <f>AM44/AM$34</f>
        <v>0.28657686948444033</v>
      </c>
    </row>
    <row r="47" spans="1:35" ht="13.5" customHeight="1">
      <c r="A47" s="4" t="s">
        <v>70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</row>
    <row r="48" ht="12.75">
      <c r="A48" s="3" t="str">
        <f>$A$2</f>
        <v>($ in millions, except per share data)</v>
      </c>
    </row>
    <row r="49" spans="7:35" ht="13.5" thickBot="1">
      <c r="G49" s="101" t="s">
        <v>71</v>
      </c>
      <c r="H49" s="101"/>
      <c r="I49" s="101"/>
      <c r="K49" s="101" t="s">
        <v>72</v>
      </c>
      <c r="L49" s="101"/>
      <c r="M49" s="101"/>
      <c r="O49" s="23" t="s">
        <v>73</v>
      </c>
      <c r="Q49" s="21" t="str">
        <f>Q100</f>
        <v>Projected Fiscal Years Ending September 30,</v>
      </c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5:35" ht="12.75">
      <c r="E50" s="82"/>
      <c r="G50" s="82">
        <f>Q50-1</f>
        <v>0</v>
      </c>
      <c r="I50" s="82" t="str">
        <f>TEXT(ltm_date,"mmm d")</f>
        <v>Mar 31</v>
      </c>
      <c r="M50" s="23" t="s">
        <v>74</v>
      </c>
      <c r="O50" s="23" t="s">
        <v>75</v>
      </c>
      <c r="Q50" s="82">
        <f>Q101</f>
        <v>1</v>
      </c>
      <c r="S50" s="82">
        <f>S101</f>
        <v>2</v>
      </c>
      <c r="U50" s="82">
        <f>U101</f>
        <v>3</v>
      </c>
      <c r="W50" s="82">
        <f>W101</f>
        <v>4</v>
      </c>
      <c r="Y50" s="82">
        <f>Y101</f>
        <v>5</v>
      </c>
      <c r="AA50" s="82">
        <f>AA101</f>
        <v>6</v>
      </c>
      <c r="AC50" s="82">
        <f>AC101</f>
        <v>7</v>
      </c>
      <c r="AE50" s="82">
        <f>AE101</f>
        <v>8</v>
      </c>
      <c r="AG50" s="82">
        <f>AG101</f>
        <v>9</v>
      </c>
      <c r="AI50" s="82">
        <f>AI101</f>
        <v>10</v>
      </c>
    </row>
    <row r="51" spans="7:35" ht="13.5" thickBot="1">
      <c r="G51" s="83">
        <f>Q51-1</f>
        <v>2007</v>
      </c>
      <c r="I51" s="83" t="str">
        <f>TEXT(ltm_date,"YYYY")</f>
        <v>2008</v>
      </c>
      <c r="K51" s="83" t="s">
        <v>76</v>
      </c>
      <c r="M51" s="83" t="s">
        <v>66</v>
      </c>
      <c r="O51" s="102">
        <f>G23</f>
        <v>39660</v>
      </c>
      <c r="Q51" s="83">
        <f>Q102</f>
        <v>2008</v>
      </c>
      <c r="S51" s="83">
        <f>S102</f>
        <v>2009</v>
      </c>
      <c r="U51" s="83">
        <f>U102</f>
        <v>2010</v>
      </c>
      <c r="W51" s="83">
        <f>W102</f>
        <v>2011</v>
      </c>
      <c r="Y51" s="83">
        <f>Y102</f>
        <v>2012</v>
      </c>
      <c r="AA51" s="83">
        <f>AA102</f>
        <v>2013</v>
      </c>
      <c r="AC51" s="83">
        <f>AC102</f>
        <v>2014</v>
      </c>
      <c r="AE51" s="83">
        <f>AE102</f>
        <v>2015</v>
      </c>
      <c r="AG51" s="83">
        <f>AG102</f>
        <v>2016</v>
      </c>
      <c r="AI51" s="83">
        <f>AI102</f>
        <v>2017</v>
      </c>
    </row>
    <row r="52" ht="12.75">
      <c r="A52" s="84" t="s">
        <v>77</v>
      </c>
    </row>
    <row r="53" spans="2:15" ht="12.75">
      <c r="B53" t="s">
        <v>78</v>
      </c>
      <c r="G53" s="78">
        <v>132.832</v>
      </c>
      <c r="I53" s="78">
        <v>146.606</v>
      </c>
      <c r="O53" s="77">
        <f>SUM(I53:M53)</f>
        <v>146.606</v>
      </c>
    </row>
    <row r="54" spans="2:15" ht="12.75">
      <c r="B54" t="s">
        <v>79</v>
      </c>
      <c r="G54" s="39">
        <f>114.132+6.038</f>
        <v>120.17</v>
      </c>
      <c r="I54" s="39">
        <v>131.443</v>
      </c>
      <c r="O54" s="95">
        <f>SUM(I54:M54)</f>
        <v>131.443</v>
      </c>
    </row>
    <row r="55" spans="2:15" ht="12.75">
      <c r="B55" t="s">
        <v>80</v>
      </c>
      <c r="G55" s="39">
        <v>0</v>
      </c>
      <c r="I55" s="39">
        <v>0</v>
      </c>
      <c r="O55" s="95">
        <f>SUM(I55:M55)</f>
        <v>0</v>
      </c>
    </row>
    <row r="56" spans="2:15" ht="12.75">
      <c r="B56" t="s">
        <v>81</v>
      </c>
      <c r="G56" s="39">
        <v>10.657</v>
      </c>
      <c r="I56" s="39">
        <v>8.828</v>
      </c>
      <c r="O56" s="95">
        <f>SUM(I56:M56)</f>
        <v>8.828</v>
      </c>
    </row>
    <row r="57" spans="2:15" ht="13.5" thickBot="1">
      <c r="B57" t="s">
        <v>82</v>
      </c>
      <c r="G57" s="39">
        <f>2.128+6.399</f>
        <v>8.527000000000001</v>
      </c>
      <c r="I57" s="39">
        <v>8.223</v>
      </c>
      <c r="O57" s="95">
        <f>SUM(I57:M57)</f>
        <v>8.223</v>
      </c>
    </row>
    <row r="58" spans="3:15" ht="12.75">
      <c r="C58" t="s">
        <v>83</v>
      </c>
      <c r="G58" s="103">
        <f>SUM(G53:G57)</f>
        <v>272.186</v>
      </c>
      <c r="I58" s="103">
        <f>SUM(I53:I57)</f>
        <v>295.09999999999997</v>
      </c>
      <c r="O58" s="103">
        <f>SUM(O53:O57)</f>
        <v>295.09999999999997</v>
      </c>
    </row>
    <row r="59" ht="4.5" customHeight="1"/>
    <row r="60" spans="2:15" ht="12.75">
      <c r="B60" t="s">
        <v>84</v>
      </c>
      <c r="G60" s="75">
        <f>G62-G61</f>
        <v>168.877</v>
      </c>
      <c r="I60" s="75">
        <f>I62-I61</f>
        <v>175.41400000000002</v>
      </c>
      <c r="O60" s="77">
        <f>SUM(I60:M60)</f>
        <v>175.41400000000002</v>
      </c>
    </row>
    <row r="61" spans="2:15" ht="13.5" thickBot="1">
      <c r="B61" t="s">
        <v>85</v>
      </c>
      <c r="G61" s="39">
        <f>-69.565-66.656</f>
        <v>-136.221</v>
      </c>
      <c r="I61" s="39">
        <f>-72.879-69.565</f>
        <v>-142.44400000000002</v>
      </c>
      <c r="O61" s="95">
        <f>SUM(I61:M61)</f>
        <v>-142.44400000000002</v>
      </c>
    </row>
    <row r="62" spans="3:15" ht="12.75">
      <c r="C62" t="s">
        <v>86</v>
      </c>
      <c r="G62" s="104">
        <v>32.656</v>
      </c>
      <c r="I62" s="104">
        <v>32.97</v>
      </c>
      <c r="O62" s="105">
        <f>SUM(O60:O61)</f>
        <v>32.97</v>
      </c>
    </row>
    <row r="63" ht="4.5" customHeight="1"/>
    <row r="64" spans="2:15" ht="12.75">
      <c r="B64" t="s">
        <v>87</v>
      </c>
      <c r="G64" s="92">
        <v>0</v>
      </c>
      <c r="I64" s="92">
        <v>0</v>
      </c>
      <c r="O64" s="106">
        <f aca="true" t="shared" si="0" ref="O64:O69">SUM(I64:M64)</f>
        <v>0</v>
      </c>
    </row>
    <row r="65" spans="2:15" ht="12.75">
      <c r="B65" t="s">
        <v>88</v>
      </c>
      <c r="G65" s="39">
        <v>0</v>
      </c>
      <c r="I65" s="39">
        <v>0</v>
      </c>
      <c r="O65" s="40">
        <f t="shared" si="0"/>
        <v>0</v>
      </c>
    </row>
    <row r="66" spans="2:15" ht="12.75">
      <c r="B66" t="s">
        <v>89</v>
      </c>
      <c r="G66" s="39">
        <v>60.745</v>
      </c>
      <c r="I66" s="39">
        <v>61.094</v>
      </c>
      <c r="O66" s="40">
        <f t="shared" si="0"/>
        <v>61.094</v>
      </c>
    </row>
    <row r="67" spans="2:15" ht="12.75">
      <c r="B67" t="s">
        <v>90</v>
      </c>
      <c r="G67" s="39">
        <f>31.526+8.649</f>
        <v>40.175</v>
      </c>
      <c r="I67" s="39">
        <v>37.491</v>
      </c>
      <c r="O67" s="40">
        <f t="shared" si="0"/>
        <v>37.491</v>
      </c>
    </row>
    <row r="68" spans="2:15" ht="12.75">
      <c r="B68" t="s">
        <v>91</v>
      </c>
      <c r="G68" s="39">
        <v>0</v>
      </c>
      <c r="I68" s="39">
        <v>0</v>
      </c>
      <c r="O68" s="40">
        <f t="shared" si="0"/>
        <v>0</v>
      </c>
    </row>
    <row r="69" spans="2:15" ht="13.5" thickBot="1">
      <c r="B69" t="s">
        <v>92</v>
      </c>
      <c r="G69" s="39">
        <f>9.453+7.173</f>
        <v>16.625999999999998</v>
      </c>
      <c r="I69" s="39">
        <v>14.29</v>
      </c>
      <c r="O69" s="40">
        <f t="shared" si="0"/>
        <v>14.29</v>
      </c>
    </row>
    <row r="70" spans="1:15" ht="13.5" thickBot="1">
      <c r="A70" s="10"/>
      <c r="B70" s="10"/>
      <c r="C70" s="10" t="s">
        <v>93</v>
      </c>
      <c r="G70" s="107">
        <f>SUM(G62:G69)+G58</f>
        <v>422.388</v>
      </c>
      <c r="I70" s="107">
        <f>SUM(I62:I69)+I58</f>
        <v>440.94499999999994</v>
      </c>
      <c r="O70" s="107">
        <f>SUM(O62:O69)+O58</f>
        <v>440.94499999999994</v>
      </c>
    </row>
    <row r="71" ht="13.5" thickTop="1"/>
    <row r="72" ht="12.75">
      <c r="A72" s="84" t="s">
        <v>94</v>
      </c>
    </row>
    <row r="73" spans="2:15" ht="12.75">
      <c r="B73" t="s">
        <v>95</v>
      </c>
      <c r="G73" s="78">
        <v>0</v>
      </c>
      <c r="I73" s="78">
        <v>0</v>
      </c>
      <c r="O73" s="108">
        <f>SUM(I73:M73)</f>
        <v>0</v>
      </c>
    </row>
    <row r="74" spans="2:15" ht="12.75">
      <c r="B74" t="s">
        <v>96</v>
      </c>
      <c r="G74" s="39">
        <v>18.429</v>
      </c>
      <c r="I74" s="39">
        <v>20.662</v>
      </c>
      <c r="O74" s="40">
        <f>SUM(I74:M74)</f>
        <v>20.662</v>
      </c>
    </row>
    <row r="75" spans="2:15" ht="12.75">
      <c r="B75" t="s">
        <v>97</v>
      </c>
      <c r="G75" s="39">
        <f>21.042</f>
        <v>21.042</v>
      </c>
      <c r="I75" s="39">
        <v>15.38</v>
      </c>
      <c r="O75" s="40">
        <f>SUM(I75:M75)</f>
        <v>15.38</v>
      </c>
    </row>
    <row r="76" spans="2:15" ht="12.75">
      <c r="B76" t="s">
        <v>98</v>
      </c>
      <c r="G76" s="39">
        <v>26.657</v>
      </c>
      <c r="I76" s="39">
        <v>0</v>
      </c>
      <c r="O76" s="40">
        <f>SUM(I76:M76)</f>
        <v>0</v>
      </c>
    </row>
    <row r="77" spans="2:15" ht="13.5" thickBot="1">
      <c r="B77" t="s">
        <v>99</v>
      </c>
      <c r="G77" s="39">
        <f>7.595+17.48</f>
        <v>25.075</v>
      </c>
      <c r="I77" s="39">
        <v>59.132999999999996</v>
      </c>
      <c r="O77" s="40">
        <f>SUM(I77:M77)</f>
        <v>59.132999999999996</v>
      </c>
    </row>
    <row r="78" spans="3:15" ht="12.75">
      <c r="C78" t="s">
        <v>100</v>
      </c>
      <c r="G78" s="109">
        <f>SUM(G73:G77)</f>
        <v>91.203</v>
      </c>
      <c r="I78" s="109">
        <f>SUM(I73:I77)</f>
        <v>95.175</v>
      </c>
      <c r="O78" s="109">
        <f>SUM(O73:O77)</f>
        <v>95.175</v>
      </c>
    </row>
    <row r="79" ht="4.5" customHeight="1"/>
    <row r="80" spans="2:15" ht="12.75">
      <c r="B80" t="s">
        <v>81</v>
      </c>
      <c r="G80" s="78">
        <v>0</v>
      </c>
      <c r="I80" s="78">
        <v>0</v>
      </c>
      <c r="O80" s="108">
        <f>SUM(I80:M80)</f>
        <v>0</v>
      </c>
    </row>
    <row r="81" spans="2:15" ht="12.75">
      <c r="B81" t="s">
        <v>101</v>
      </c>
      <c r="G81" s="39">
        <v>0</v>
      </c>
      <c r="I81" s="39">
        <v>0</v>
      </c>
      <c r="O81" s="40">
        <f>SUM(I81:M81)</f>
        <v>0</v>
      </c>
    </row>
    <row r="82" spans="2:15" ht="12.75">
      <c r="B82" t="s">
        <v>102</v>
      </c>
      <c r="G82" s="39">
        <f>9.79+4.918+3.953</f>
        <v>18.660999999999998</v>
      </c>
      <c r="I82" s="39">
        <v>17.917</v>
      </c>
      <c r="O82" s="40">
        <f>SUM(I82:M82)</f>
        <v>17.917</v>
      </c>
    </row>
    <row r="83" ht="4.5" customHeight="1"/>
    <row r="84" spans="2:15" ht="13.5" thickBot="1">
      <c r="B84" t="s">
        <v>103</v>
      </c>
      <c r="G84" s="39">
        <v>230</v>
      </c>
      <c r="I84" s="39">
        <v>230</v>
      </c>
      <c r="O84" s="40">
        <f>SUM(I84:M84)</f>
        <v>230</v>
      </c>
    </row>
    <row r="85" spans="1:15" ht="12.75">
      <c r="A85" s="25"/>
      <c r="B85" s="25"/>
      <c r="C85" s="25" t="s">
        <v>104</v>
      </c>
      <c r="G85" s="109">
        <f>SUM(G78:G84)</f>
        <v>339.86400000000003</v>
      </c>
      <c r="I85" s="109">
        <f>SUM(I78:I84)</f>
        <v>343.092</v>
      </c>
      <c r="O85" s="109">
        <f>SUM(O78:O84)</f>
        <v>343.092</v>
      </c>
    </row>
    <row r="87" ht="12.75">
      <c r="A87" s="84" t="s">
        <v>105</v>
      </c>
    </row>
    <row r="88" spans="2:15" ht="12.75">
      <c r="B88" t="s">
        <v>106</v>
      </c>
      <c r="G88" s="78">
        <v>82.524</v>
      </c>
      <c r="I88" s="78">
        <v>97.8530000000001</v>
      </c>
      <c r="O88" s="108">
        <f>SUM(I88:M88)</f>
        <v>97.8530000000001</v>
      </c>
    </row>
    <row r="89" spans="2:15" ht="12.75">
      <c r="B89" t="s">
        <v>66</v>
      </c>
      <c r="G89" s="39">
        <v>0</v>
      </c>
      <c r="I89" s="39">
        <v>0</v>
      </c>
      <c r="O89" s="40">
        <f>SUM(I89:M89)</f>
        <v>0</v>
      </c>
    </row>
    <row r="90" spans="2:15" ht="12.75">
      <c r="B90" t="s">
        <v>107</v>
      </c>
      <c r="G90" s="39">
        <v>0</v>
      </c>
      <c r="I90" s="39">
        <v>0</v>
      </c>
      <c r="O90" s="40">
        <f>SUM(I90:M90)</f>
        <v>0</v>
      </c>
    </row>
    <row r="91" spans="2:15" ht="13.5" thickBot="1">
      <c r="B91" t="s">
        <v>108</v>
      </c>
      <c r="G91" s="39">
        <v>0</v>
      </c>
      <c r="I91" s="39">
        <v>0</v>
      </c>
      <c r="O91" s="40">
        <f>SUM(I91:M91)</f>
        <v>0</v>
      </c>
    </row>
    <row r="92" spans="3:15" ht="12.75">
      <c r="C92" t="s">
        <v>109</v>
      </c>
      <c r="G92" s="109">
        <f>SUM(G88:G91)</f>
        <v>82.524</v>
      </c>
      <c r="I92" s="109">
        <f>SUM(I88:I91)</f>
        <v>97.8530000000001</v>
      </c>
      <c r="O92" s="109">
        <f>SUM(O88:O91)</f>
        <v>97.8530000000001</v>
      </c>
    </row>
    <row r="93" ht="13.5" thickBot="1"/>
    <row r="94" spans="3:15" s="10" customFormat="1" ht="13.5" thickBot="1">
      <c r="C94" s="10" t="s">
        <v>110</v>
      </c>
      <c r="G94" s="107">
        <f>G92+G85</f>
        <v>422.38800000000003</v>
      </c>
      <c r="I94" s="107">
        <f>I92+I85</f>
        <v>440.94500000000005</v>
      </c>
      <c r="O94" s="107">
        <f>O92+O85</f>
        <v>440.94500000000005</v>
      </c>
    </row>
    <row r="95" ht="13.5" thickTop="1"/>
    <row r="96" spans="1:15" s="20" customFormat="1" ht="12.75">
      <c r="A96" s="20" t="s">
        <v>111</v>
      </c>
      <c r="G96" s="110">
        <f>G94-G70</f>
        <v>0</v>
      </c>
      <c r="I96" s="110">
        <f>I94-I70</f>
        <v>0</v>
      </c>
      <c r="O96" s="110">
        <f>O94-O70</f>
        <v>0</v>
      </c>
    </row>
    <row r="98" spans="1:35" ht="12.75">
      <c r="A98" s="4" t="s">
        <v>52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ht="12.75">
      <c r="A99" s="3" t="str">
        <f>$A$2</f>
        <v>($ in millions, except per share data)</v>
      </c>
    </row>
    <row r="100" spans="17:35" ht="13.5" customHeight="1" thickBot="1">
      <c r="Q100" s="21" t="str">
        <f>"Projected Fiscal Years Ending "&amp;TEXT(fye,"mmmm dd")&amp;","</f>
        <v>Projected Fiscal Years Ending September 30,</v>
      </c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</row>
    <row r="101" spans="17:35" ht="12.75">
      <c r="Q101" s="88">
        <v>1</v>
      </c>
      <c r="S101" s="82">
        <f>Q101+1</f>
        <v>2</v>
      </c>
      <c r="U101" s="82">
        <f>S101+1</f>
        <v>3</v>
      </c>
      <c r="W101" s="82">
        <f>U101+1</f>
        <v>4</v>
      </c>
      <c r="Y101" s="82">
        <f>W101+1</f>
        <v>5</v>
      </c>
      <c r="AA101" s="82">
        <f>Y101+1</f>
        <v>6</v>
      </c>
      <c r="AC101" s="82">
        <f>AA101+1</f>
        <v>7</v>
      </c>
      <c r="AE101" s="82">
        <f>AC101+1</f>
        <v>8</v>
      </c>
      <c r="AG101" s="82">
        <f>AE101+1</f>
        <v>9</v>
      </c>
      <c r="AI101" s="82">
        <f>AG101+1</f>
        <v>10</v>
      </c>
    </row>
    <row r="102" spans="17:35" ht="13.5" customHeight="1" thickBot="1">
      <c r="Q102" s="89">
        <f>'Target P&amp;L'!M5</f>
        <v>2008</v>
      </c>
      <c r="S102" s="83">
        <f>Q102+1</f>
        <v>2009</v>
      </c>
      <c r="U102" s="83">
        <f>S102+1</f>
        <v>2010</v>
      </c>
      <c r="W102" s="83">
        <f>U102+1</f>
        <v>2011</v>
      </c>
      <c r="Y102" s="83">
        <f>W102+1</f>
        <v>2012</v>
      </c>
      <c r="AA102" s="83">
        <f>Y102+1</f>
        <v>2013</v>
      </c>
      <c r="AC102" s="83">
        <f>AA102+1</f>
        <v>2014</v>
      </c>
      <c r="AE102" s="83">
        <f>AC102+1</f>
        <v>2015</v>
      </c>
      <c r="AG102" s="83">
        <f>AE102+1</f>
        <v>2016</v>
      </c>
      <c r="AI102" s="83">
        <f>AG102+1</f>
        <v>2017</v>
      </c>
    </row>
    <row r="103" ht="12.75">
      <c r="A103" s="84" t="s">
        <v>53</v>
      </c>
    </row>
    <row r="104" spans="2:35" ht="12.75">
      <c r="B104" s="85" t="s">
        <v>54</v>
      </c>
      <c r="Q104" s="36">
        <v>0.14</v>
      </c>
      <c r="S104" s="36">
        <v>0.045</v>
      </c>
      <c r="U104" s="36">
        <v>0.036</v>
      </c>
      <c r="W104" s="36">
        <v>0.024</v>
      </c>
      <c r="Y104" s="36">
        <v>0.024</v>
      </c>
      <c r="AA104" s="36">
        <v>0.024</v>
      </c>
      <c r="AC104" s="36">
        <v>0.024</v>
      </c>
      <c r="AE104" s="36">
        <v>0.024</v>
      </c>
      <c r="AG104" s="36">
        <v>0.024</v>
      </c>
      <c r="AI104" s="36">
        <v>0.024</v>
      </c>
    </row>
    <row r="105" spans="2:35" ht="12.75">
      <c r="B105" s="85" t="s">
        <v>55</v>
      </c>
      <c r="Q105" s="86">
        <f>'Target P&amp;L'!M8</f>
        <v>0.1381366459627329</v>
      </c>
      <c r="S105" s="86">
        <f>'Target P&amp;L'!O8</f>
        <v>0.0216110019646365</v>
      </c>
      <c r="U105" s="86">
        <f>'Target P&amp;L'!Q8</f>
        <v>0.005341880341880323</v>
      </c>
      <c r="W105" s="86">
        <f>'Target P&amp;L'!S8</f>
        <v>0.01</v>
      </c>
      <c r="Y105" s="86">
        <f>'Target P&amp;L'!U8</f>
        <v>0.01</v>
      </c>
      <c r="AA105" s="68">
        <f>Y105</f>
        <v>0.01</v>
      </c>
      <c r="AC105" s="68">
        <f>AA105</f>
        <v>0.01</v>
      </c>
      <c r="AE105" s="68">
        <f>AC105</f>
        <v>0.01</v>
      </c>
      <c r="AG105" s="68">
        <f>AE105</f>
        <v>0.01</v>
      </c>
      <c r="AI105" s="68">
        <f>AG105</f>
        <v>0.01</v>
      </c>
    </row>
    <row r="106" spans="2:35" ht="12.75">
      <c r="B106" s="85" t="s">
        <v>56</v>
      </c>
      <c r="Q106" s="36">
        <v>0.11</v>
      </c>
      <c r="S106" s="36">
        <v>0.02</v>
      </c>
      <c r="U106" s="36">
        <v>0.005</v>
      </c>
      <c r="W106" s="36">
        <v>0.005</v>
      </c>
      <c r="Y106" s="36">
        <v>0.005</v>
      </c>
      <c r="AA106" s="36">
        <v>0.005</v>
      </c>
      <c r="AC106" s="36">
        <v>0.005</v>
      </c>
      <c r="AE106" s="36">
        <v>0.005</v>
      </c>
      <c r="AG106" s="36">
        <v>0.005</v>
      </c>
      <c r="AI106" s="36">
        <v>0.005</v>
      </c>
    </row>
    <row r="107" spans="2:35" ht="4.5" customHeight="1">
      <c r="B107" s="85"/>
      <c r="Q107" s="36"/>
      <c r="S107" s="36"/>
      <c r="U107" s="36"/>
      <c r="W107" s="36"/>
      <c r="Y107" s="36"/>
      <c r="AA107" s="36"/>
      <c r="AC107" s="36"/>
      <c r="AE107" s="36"/>
      <c r="AG107" s="36"/>
      <c r="AI107" s="36"/>
    </row>
    <row r="108" spans="2:35" s="10" customFormat="1" ht="12.75">
      <c r="B108" s="10" t="str">
        <f ca="1">OFFSET(B103,op_case,0)</f>
        <v>Analyst Case</v>
      </c>
      <c r="Q108" s="91">
        <f ca="1">OFFSET(Q103,op_case,0)</f>
        <v>0.1381366459627329</v>
      </c>
      <c r="S108" s="91">
        <f ca="1">OFFSET(S103,op_case,0)</f>
        <v>0.0216110019646365</v>
      </c>
      <c r="U108" s="91">
        <f ca="1">OFFSET(U103,op_case,0)</f>
        <v>0.005341880341880323</v>
      </c>
      <c r="W108" s="91">
        <f ca="1">OFFSET(W103,op_case,0)</f>
        <v>0.01</v>
      </c>
      <c r="Y108" s="91">
        <f ca="1">OFFSET(Y103,op_case,0)</f>
        <v>0.01</v>
      </c>
      <c r="AA108" s="91">
        <f ca="1">OFFSET(AA103,op_case,0)</f>
        <v>0.01</v>
      </c>
      <c r="AC108" s="91">
        <f ca="1">OFFSET(AC103,op_case,0)</f>
        <v>0.01</v>
      </c>
      <c r="AE108" s="91">
        <f ca="1">OFFSET(AE103,op_case,0)</f>
        <v>0.01</v>
      </c>
      <c r="AG108" s="91">
        <f ca="1">OFFSET(AG103,op_case,0)</f>
        <v>0.01</v>
      </c>
      <c r="AI108" s="91">
        <f ca="1">OFFSET(AI103,op_case,0)</f>
        <v>0.01</v>
      </c>
    </row>
    <row r="110" spans="1:35" s="25" customFormat="1" ht="12.75">
      <c r="A110" s="84" t="s">
        <v>57</v>
      </c>
      <c r="Q110" s="87"/>
      <c r="S110" s="87"/>
      <c r="U110" s="87"/>
      <c r="W110" s="87"/>
      <c r="Y110" s="87"/>
      <c r="AA110" s="87"/>
      <c r="AC110" s="87"/>
      <c r="AE110" s="87"/>
      <c r="AG110" s="87"/>
      <c r="AI110" s="87"/>
    </row>
    <row r="111" spans="2:35" ht="12.75">
      <c r="B111" t="str">
        <f>B104</f>
        <v>Management Case</v>
      </c>
      <c r="Q111" s="36">
        <v>0.52</v>
      </c>
      <c r="S111" s="36">
        <v>0.515</v>
      </c>
      <c r="U111" s="36">
        <v>0.515</v>
      </c>
      <c r="W111" s="36">
        <v>0.51</v>
      </c>
      <c r="Y111" s="36">
        <v>0.51</v>
      </c>
      <c r="AA111" s="36">
        <v>0.51</v>
      </c>
      <c r="AC111" s="36">
        <v>0.51</v>
      </c>
      <c r="AE111" s="36">
        <v>0.51</v>
      </c>
      <c r="AG111" s="36">
        <v>0.51</v>
      </c>
      <c r="AI111" s="36">
        <v>0.51</v>
      </c>
    </row>
    <row r="112" spans="2:35" ht="12.75">
      <c r="B112" t="str">
        <f>B105</f>
        <v>Analyst Case</v>
      </c>
      <c r="Q112" s="86">
        <f>'Target P&amp;L'!M11</f>
        <v>0.5230299061340319</v>
      </c>
      <c r="S112" s="86">
        <f>'Target P&amp;L'!O11</f>
        <v>0.5337606837606838</v>
      </c>
      <c r="U112" s="86">
        <f>'Target P&amp;L'!Q11</f>
        <v>0.5360255047821466</v>
      </c>
      <c r="W112" s="86">
        <f>'Target P&amp;L'!S11</f>
        <v>0.5360255047821466</v>
      </c>
      <c r="Y112" s="86">
        <f>'Target P&amp;L'!U11</f>
        <v>0.5360255047821466</v>
      </c>
      <c r="AA112" s="68">
        <f>Y112</f>
        <v>0.5360255047821466</v>
      </c>
      <c r="AC112" s="68">
        <f>AA112</f>
        <v>0.5360255047821466</v>
      </c>
      <c r="AE112" s="68">
        <f>AC112</f>
        <v>0.5360255047821466</v>
      </c>
      <c r="AG112" s="68">
        <f>AE112</f>
        <v>0.5360255047821466</v>
      </c>
      <c r="AI112" s="68">
        <f>AG112</f>
        <v>0.5360255047821466</v>
      </c>
    </row>
    <row r="113" spans="2:35" ht="12.75">
      <c r="B113" t="str">
        <f>B106</f>
        <v>Downside Case</v>
      </c>
      <c r="Q113" s="36">
        <v>0.525</v>
      </c>
      <c r="S113" s="36">
        <v>0.539</v>
      </c>
      <c r="U113" s="36">
        <v>0.542</v>
      </c>
      <c r="W113" s="36">
        <v>0.545</v>
      </c>
      <c r="Y113" s="36">
        <v>0.545</v>
      </c>
      <c r="AA113" s="36">
        <v>0.545</v>
      </c>
      <c r="AC113" s="36">
        <v>0.545</v>
      </c>
      <c r="AE113" s="36">
        <v>0.545</v>
      </c>
      <c r="AG113" s="36">
        <v>0.545</v>
      </c>
      <c r="AI113" s="36">
        <v>0.545</v>
      </c>
    </row>
    <row r="114" ht="4.5" customHeight="1"/>
    <row r="115" spans="2:35" s="10" customFormat="1" ht="12.75">
      <c r="B115" s="10" t="str">
        <f ca="1">OFFSET(B110,op_case,0)</f>
        <v>Analyst Case</v>
      </c>
      <c r="Q115" s="91">
        <f ca="1">OFFSET(Q110,op_case,0)</f>
        <v>0.5230299061340319</v>
      </c>
      <c r="S115" s="91">
        <f ca="1">OFFSET(S110,op_case,0)</f>
        <v>0.5337606837606838</v>
      </c>
      <c r="U115" s="91">
        <f ca="1">OFFSET(U110,op_case,0)</f>
        <v>0.5360255047821466</v>
      </c>
      <c r="W115" s="91">
        <f ca="1">OFFSET(W110,op_case,0)</f>
        <v>0.5360255047821466</v>
      </c>
      <c r="Y115" s="91">
        <f ca="1">OFFSET(Y110,op_case,0)</f>
        <v>0.5360255047821466</v>
      </c>
      <c r="AA115" s="91">
        <f ca="1">OFFSET(AA110,op_case,0)</f>
        <v>0.5360255047821466</v>
      </c>
      <c r="AC115" s="91">
        <f ca="1">OFFSET(AC110,op_case,0)</f>
        <v>0.5360255047821466</v>
      </c>
      <c r="AE115" s="91">
        <f ca="1">OFFSET(AE110,op_case,0)</f>
        <v>0.5360255047821466</v>
      </c>
      <c r="AG115" s="91">
        <f ca="1">OFFSET(AG110,op_case,0)</f>
        <v>0.5360255047821466</v>
      </c>
      <c r="AI115" s="91">
        <f ca="1">OFFSET(AI110,op_case,0)</f>
        <v>0.5360255047821466</v>
      </c>
    </row>
    <row r="117" spans="1:35" s="25" customFormat="1" ht="12.75">
      <c r="A117" s="84" t="s">
        <v>58</v>
      </c>
      <c r="Q117" s="87"/>
      <c r="S117" s="87"/>
      <c r="U117" s="87"/>
      <c r="W117" s="87"/>
      <c r="Y117" s="87"/>
      <c r="AA117" s="87"/>
      <c r="AC117" s="87"/>
      <c r="AE117" s="87"/>
      <c r="AG117" s="87"/>
      <c r="AI117" s="87"/>
    </row>
    <row r="118" spans="2:35" ht="12.75">
      <c r="B118" t="str">
        <f>B111</f>
        <v>Management Case</v>
      </c>
      <c r="Q118" s="36">
        <v>0.19</v>
      </c>
      <c r="S118" s="36">
        <v>0.19</v>
      </c>
      <c r="U118" s="36">
        <v>0.189</v>
      </c>
      <c r="W118" s="36">
        <v>0.188</v>
      </c>
      <c r="Y118" s="36">
        <v>0.187</v>
      </c>
      <c r="AA118" s="36">
        <v>0.187</v>
      </c>
      <c r="AC118" s="36">
        <v>0.187</v>
      </c>
      <c r="AE118" s="36">
        <v>0.187</v>
      </c>
      <c r="AG118" s="36">
        <v>0.187</v>
      </c>
      <c r="AI118" s="36">
        <v>0.187</v>
      </c>
    </row>
    <row r="119" spans="2:35" ht="12.75">
      <c r="B119" t="str">
        <f>B112</f>
        <v>Analyst Case</v>
      </c>
      <c r="Q119" s="86">
        <f>'Target P&amp;L'!M16</f>
        <v>0.19275267408862692</v>
      </c>
      <c r="S119" s="86">
        <f>'Target P&amp;L'!O16</f>
        <v>0.19594017094017094</v>
      </c>
      <c r="U119" s="86">
        <f>'Target P&amp;L'!Q16</f>
        <v>0.19638682252922424</v>
      </c>
      <c r="W119" s="86">
        <f>'Target P&amp;L'!S16</f>
        <v>0.19638682252922424</v>
      </c>
      <c r="Y119" s="86">
        <f>'Target P&amp;L'!U16</f>
        <v>0.19638682252922424</v>
      </c>
      <c r="AA119" s="68">
        <f>Y119</f>
        <v>0.19638682252922424</v>
      </c>
      <c r="AC119" s="68">
        <f>AA119</f>
        <v>0.19638682252922424</v>
      </c>
      <c r="AE119" s="68">
        <f>AC119</f>
        <v>0.19638682252922424</v>
      </c>
      <c r="AG119" s="68">
        <f>AE119</f>
        <v>0.19638682252922424</v>
      </c>
      <c r="AI119" s="68">
        <f>AG119</f>
        <v>0.19638682252922424</v>
      </c>
    </row>
    <row r="120" spans="2:35" ht="12.75">
      <c r="B120" t="str">
        <f>B113</f>
        <v>Downside Case</v>
      </c>
      <c r="Q120" s="36">
        <v>0.196</v>
      </c>
      <c r="S120" s="36">
        <v>0.2</v>
      </c>
      <c r="U120" s="36">
        <v>0.202</v>
      </c>
      <c r="W120" s="36">
        <v>0.204</v>
      </c>
      <c r="Y120" s="36">
        <v>0.205</v>
      </c>
      <c r="AA120" s="36">
        <v>0.205</v>
      </c>
      <c r="AC120" s="36">
        <v>0.205</v>
      </c>
      <c r="AE120" s="36">
        <v>0.205</v>
      </c>
      <c r="AG120" s="36">
        <v>0.205</v>
      </c>
      <c r="AI120" s="36">
        <v>0.205</v>
      </c>
    </row>
    <row r="121" ht="4.5" customHeight="1"/>
    <row r="122" spans="2:35" s="10" customFormat="1" ht="12.75">
      <c r="B122" s="10" t="str">
        <f ca="1">OFFSET(B117,op_case,0)</f>
        <v>Analyst Case</v>
      </c>
      <c r="Q122" s="91">
        <f ca="1">OFFSET(Q117,op_case,0)</f>
        <v>0.19275267408862692</v>
      </c>
      <c r="S122" s="91">
        <f ca="1">OFFSET(S117,op_case,0)</f>
        <v>0.19594017094017094</v>
      </c>
      <c r="U122" s="91">
        <f ca="1">OFFSET(U117,op_case,0)</f>
        <v>0.19638682252922424</v>
      </c>
      <c r="W122" s="91">
        <f ca="1">OFFSET(W117,op_case,0)</f>
        <v>0.19638682252922424</v>
      </c>
      <c r="Y122" s="91">
        <f ca="1">OFFSET(Y117,op_case,0)</f>
        <v>0.19638682252922424</v>
      </c>
      <c r="AA122" s="91">
        <f ca="1">OFFSET(AA117,op_case,0)</f>
        <v>0.19638682252922424</v>
      </c>
      <c r="AC122" s="91">
        <f ca="1">OFFSET(AC117,op_case,0)</f>
        <v>0.19638682252922424</v>
      </c>
      <c r="AE122" s="91">
        <f ca="1">OFFSET(AE117,op_case,0)</f>
        <v>0.19638682252922424</v>
      </c>
      <c r="AG122" s="91">
        <f ca="1">OFFSET(AG117,op_case,0)</f>
        <v>0.19638682252922424</v>
      </c>
      <c r="AI122" s="91">
        <f ca="1">OFFSET(AI117,op_case,0)</f>
        <v>0.19638682252922424</v>
      </c>
    </row>
    <row r="124" ht="12.75">
      <c r="A124" s="84" t="s">
        <v>59</v>
      </c>
    </row>
    <row r="125" spans="2:35" ht="12.75">
      <c r="B125" t="str">
        <f>B118</f>
        <v>Management Case</v>
      </c>
      <c r="Q125" s="36">
        <v>0</v>
      </c>
      <c r="S125" s="36">
        <v>0</v>
      </c>
      <c r="U125" s="36">
        <v>0</v>
      </c>
      <c r="W125" s="36">
        <v>0</v>
      </c>
      <c r="Y125" s="36">
        <v>0</v>
      </c>
      <c r="AA125" s="36">
        <v>0</v>
      </c>
      <c r="AC125" s="36">
        <v>0</v>
      </c>
      <c r="AE125" s="36">
        <v>0</v>
      </c>
      <c r="AG125" s="36">
        <v>0</v>
      </c>
      <c r="AI125" s="36">
        <v>0</v>
      </c>
    </row>
    <row r="126" spans="2:35" ht="12.75">
      <c r="B126" t="str">
        <f>B119</f>
        <v>Analyst Case</v>
      </c>
      <c r="Q126" s="36">
        <v>0</v>
      </c>
      <c r="S126" s="36">
        <v>0</v>
      </c>
      <c r="U126" s="36">
        <v>0</v>
      </c>
      <c r="W126" s="36">
        <v>0</v>
      </c>
      <c r="Y126" s="36">
        <v>0</v>
      </c>
      <c r="AA126" s="36">
        <v>0</v>
      </c>
      <c r="AC126" s="36">
        <v>0</v>
      </c>
      <c r="AE126" s="36">
        <v>0</v>
      </c>
      <c r="AG126" s="36">
        <v>0</v>
      </c>
      <c r="AI126" s="36">
        <v>0</v>
      </c>
    </row>
    <row r="127" spans="2:35" ht="12.75">
      <c r="B127" t="str">
        <f>B120</f>
        <v>Downside Case</v>
      </c>
      <c r="Q127" s="36">
        <v>0</v>
      </c>
      <c r="S127" s="36">
        <v>0</v>
      </c>
      <c r="U127" s="36">
        <v>0</v>
      </c>
      <c r="W127" s="36">
        <v>0</v>
      </c>
      <c r="Y127" s="36">
        <v>0</v>
      </c>
      <c r="AA127" s="36">
        <v>0</v>
      </c>
      <c r="AC127" s="36">
        <v>0</v>
      </c>
      <c r="AE127" s="36">
        <v>0</v>
      </c>
      <c r="AG127" s="36">
        <v>0</v>
      </c>
      <c r="AI127" s="36">
        <v>0</v>
      </c>
    </row>
    <row r="128" ht="4.5" customHeight="1"/>
    <row r="129" spans="2:35" s="10" customFormat="1" ht="12.75">
      <c r="B129" s="10" t="str">
        <f ca="1">OFFSET(B124,op_case,0)</f>
        <v>Analyst Case</v>
      </c>
      <c r="Q129" s="91">
        <f ca="1">OFFSET(Q124,op_case,0)</f>
        <v>0</v>
      </c>
      <c r="S129" s="91">
        <f ca="1">OFFSET(S124,op_case,0)</f>
        <v>0</v>
      </c>
      <c r="U129" s="91">
        <f ca="1">OFFSET(U124,op_case,0)</f>
        <v>0</v>
      </c>
      <c r="W129" s="91">
        <f ca="1">OFFSET(W124,op_case,0)</f>
        <v>0</v>
      </c>
      <c r="Y129" s="91">
        <f ca="1">OFFSET(Y124,op_case,0)</f>
        <v>0</v>
      </c>
      <c r="AA129" s="91">
        <f ca="1">OFFSET(AA124,op_case,0)</f>
        <v>0</v>
      </c>
      <c r="AC129" s="91">
        <f ca="1">OFFSET(AC124,op_case,0)</f>
        <v>0</v>
      </c>
      <c r="AE129" s="91">
        <f ca="1">OFFSET(AE124,op_case,0)</f>
        <v>0</v>
      </c>
      <c r="AG129" s="91">
        <f ca="1">OFFSET(AG124,op_case,0)</f>
        <v>0</v>
      </c>
      <c r="AI129" s="91">
        <f ca="1">OFFSET(AI124,op_case,0)</f>
        <v>0</v>
      </c>
    </row>
  </sheetData>
  <dataValidations count="1">
    <dataValidation type="whole" operator="greaterThanOrEqual" showInputMessage="1" showErrorMessage="1" sqref="G12">
      <formula1>1</formula1>
    </dataValidation>
  </dataValidations>
  <printOptions/>
  <pageMargins left="0.75" right="0.75" top="1" bottom="1" header="0.5" footer="0.5"/>
  <pageSetup horizontalDpi="300" verticalDpi="300" orientation="portrait" paperSize="11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6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3" width="1.7109375" style="0" customWidth="1"/>
    <col min="4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  <col min="22" max="23" width="0.85546875" style="0" customWidth="1"/>
    <col min="24" max="24" width="10.7109375" style="0" customWidth="1"/>
  </cols>
  <sheetData>
    <row r="1" spans="1:24" ht="24" customHeight="1" thickBot="1">
      <c r="A1" s="1" t="str">
        <f>tgt&amp;" Income Statement"</f>
        <v>TargetCo Income Statement</v>
      </c>
      <c r="B1" s="1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" ht="12.75">
      <c r="A2" s="3" t="s">
        <v>0</v>
      </c>
      <c r="B2" s="20"/>
    </row>
    <row r="4" spans="7:24" ht="13.5" customHeight="1" thickBot="1">
      <c r="G4" s="21" t="str">
        <f>"FY Ended "&amp;TEXT(fye,"mmmm d")&amp;","</f>
        <v>FY Ended September 30,</v>
      </c>
      <c r="H4" s="21"/>
      <c r="I4" s="21"/>
      <c r="J4" s="21"/>
      <c r="K4" s="21"/>
      <c r="M4" s="21" t="str">
        <f>"FY Ending "&amp;TEXT(fye,"mmmm d")&amp;","</f>
        <v>FY Ending September 30,</v>
      </c>
      <c r="N4" s="22"/>
      <c r="O4" s="22"/>
      <c r="P4" s="22"/>
      <c r="Q4" s="22"/>
      <c r="R4" s="22"/>
      <c r="S4" s="22"/>
      <c r="T4" s="22"/>
      <c r="U4" s="22"/>
      <c r="X4" s="23" t="s">
        <v>21</v>
      </c>
    </row>
    <row r="5" spans="7:24" ht="13.5" customHeight="1" thickBot="1">
      <c r="G5" s="24">
        <f>I5-1</f>
        <v>2005</v>
      </c>
      <c r="H5" s="25"/>
      <c r="I5" s="24">
        <f>K5-1</f>
        <v>2006</v>
      </c>
      <c r="K5" s="26">
        <v>2007</v>
      </c>
      <c r="M5" s="27">
        <f>K5+1</f>
        <v>2008</v>
      </c>
      <c r="O5" s="27">
        <f>M5+1</f>
        <v>2009</v>
      </c>
      <c r="Q5" s="27">
        <f>O5+1</f>
        <v>2010</v>
      </c>
      <c r="R5" s="28"/>
      <c r="S5" s="29">
        <f>Q5+1</f>
        <v>2011</v>
      </c>
      <c r="U5" s="29">
        <f>S5+1</f>
        <v>2012</v>
      </c>
      <c r="X5" s="30" t="str">
        <f>M5&amp;"-"&amp;U5</f>
        <v>2008-2012</v>
      </c>
    </row>
    <row r="6" ht="4.5" customHeight="1"/>
    <row r="7" spans="2:24" s="31" customFormat="1" ht="12.75">
      <c r="B7" s="31" t="s">
        <v>22</v>
      </c>
      <c r="G7" s="32">
        <v>370.8</v>
      </c>
      <c r="I7" s="32">
        <v>380.8</v>
      </c>
      <c r="K7" s="32">
        <v>402.5</v>
      </c>
      <c r="M7" s="32">
        <v>458.1</v>
      </c>
      <c r="O7" s="32">
        <v>468</v>
      </c>
      <c r="Q7" s="32">
        <v>470.5</v>
      </c>
      <c r="S7" s="33">
        <f>Q7*(1+S8)</f>
        <v>475.205</v>
      </c>
      <c r="U7" s="33">
        <f>S7*(1+U8)</f>
        <v>479.95705</v>
      </c>
      <c r="X7" s="34">
        <f>(U7/M7)^(1/(U$5-$M$5))-1</f>
        <v>0.011720432226423716</v>
      </c>
    </row>
    <row r="8" spans="3:24" s="20" customFormat="1" ht="12.75" customHeight="1">
      <c r="C8" s="20" t="s">
        <v>23</v>
      </c>
      <c r="G8" s="35" t="s">
        <v>24</v>
      </c>
      <c r="I8" s="34">
        <f>I7/G7-1</f>
        <v>0.026968716289104577</v>
      </c>
      <c r="K8" s="34">
        <f>K7/I7-1</f>
        <v>0.05698529411764697</v>
      </c>
      <c r="M8" s="34">
        <f>M7/K7-1</f>
        <v>0.1381366459627329</v>
      </c>
      <c r="O8" s="34">
        <f>O7/M7-1</f>
        <v>0.0216110019646365</v>
      </c>
      <c r="Q8" s="34">
        <f>Q7/O7-1</f>
        <v>0.005341880341880323</v>
      </c>
      <c r="S8" s="36">
        <v>0.01</v>
      </c>
      <c r="U8" s="34">
        <f>S8</f>
        <v>0.01</v>
      </c>
      <c r="X8" s="37"/>
    </row>
    <row r="9" ht="4.5" customHeight="1"/>
    <row r="10" spans="2:21" s="38" customFormat="1" ht="12.75">
      <c r="B10" s="38" t="s">
        <v>25</v>
      </c>
      <c r="G10" s="39">
        <v>182.5</v>
      </c>
      <c r="I10" s="39">
        <v>188.6</v>
      </c>
      <c r="K10" s="39">
        <v>207.7</v>
      </c>
      <c r="M10" s="39">
        <v>239.6</v>
      </c>
      <c r="O10" s="39">
        <v>249.8</v>
      </c>
      <c r="Q10" s="39">
        <v>252.2</v>
      </c>
      <c r="S10" s="40">
        <f>S11*S7</f>
        <v>254.72199999999998</v>
      </c>
      <c r="U10" s="40">
        <f>U11*U7</f>
        <v>257.26921999999996</v>
      </c>
    </row>
    <row r="11" spans="3:24" s="20" customFormat="1" ht="12.75" customHeight="1" thickBot="1">
      <c r="C11" s="20" t="s">
        <v>26</v>
      </c>
      <c r="G11" s="41">
        <f>G10/G7</f>
        <v>0.49217907227615965</v>
      </c>
      <c r="I11" s="41">
        <f>I10/I7</f>
        <v>0.49527310924369744</v>
      </c>
      <c r="K11" s="41">
        <f>K10/K7</f>
        <v>0.5160248447204968</v>
      </c>
      <c r="M11" s="41">
        <f>M10/M7</f>
        <v>0.5230299061340319</v>
      </c>
      <c r="O11" s="41">
        <f>O10/O7</f>
        <v>0.5337606837606838</v>
      </c>
      <c r="Q11" s="41">
        <f>Q10/Q7</f>
        <v>0.5360255047821466</v>
      </c>
      <c r="S11" s="42">
        <f>Q11</f>
        <v>0.5360255047821466</v>
      </c>
      <c r="U11" s="41">
        <f>S11</f>
        <v>0.5360255047821466</v>
      </c>
      <c r="X11" s="37"/>
    </row>
    <row r="12" spans="2:24" ht="12.75">
      <c r="B12" t="s">
        <v>27</v>
      </c>
      <c r="G12" s="43">
        <f>G7-G10</f>
        <v>188.3</v>
      </c>
      <c r="I12" s="43">
        <f>I7-I10</f>
        <v>192.20000000000002</v>
      </c>
      <c r="K12" s="43">
        <f>K7-K10</f>
        <v>194.8</v>
      </c>
      <c r="M12" s="43">
        <f>M7-M10</f>
        <v>218.50000000000003</v>
      </c>
      <c r="O12" s="43">
        <f>O7-O10</f>
        <v>218.2</v>
      </c>
      <c r="Q12" s="43">
        <f>Q7-Q10</f>
        <v>218.3</v>
      </c>
      <c r="S12" s="43">
        <f>S7-S10</f>
        <v>220.483</v>
      </c>
      <c r="U12" s="43">
        <f>U7-U10</f>
        <v>222.68783000000002</v>
      </c>
      <c r="X12" s="34">
        <f>(U12/M12)^(1/(U$5-$M$5))-1</f>
        <v>0.004757508860870674</v>
      </c>
    </row>
    <row r="13" spans="3:24" s="20" customFormat="1" ht="12.75" customHeight="1">
      <c r="C13" s="20" t="s">
        <v>28</v>
      </c>
      <c r="G13" s="41">
        <f>G12/G$7</f>
        <v>0.5078209277238404</v>
      </c>
      <c r="I13" s="41">
        <f>I12/I$7</f>
        <v>0.5047268907563025</v>
      </c>
      <c r="K13" s="41">
        <f>K12/K$7</f>
        <v>0.48397515527950313</v>
      </c>
      <c r="M13" s="41">
        <f>M12/M$7</f>
        <v>0.47697009386596817</v>
      </c>
      <c r="O13" s="41">
        <f>O12/O$7</f>
        <v>0.4662393162393162</v>
      </c>
      <c r="Q13" s="41">
        <f>Q12/Q$7</f>
        <v>0.4639744952178534</v>
      </c>
      <c r="S13" s="41">
        <f>S12/S$7</f>
        <v>0.4639744952178534</v>
      </c>
      <c r="U13" s="41">
        <f>U12/U$7</f>
        <v>0.4639744952178534</v>
      </c>
      <c r="X13" s="37"/>
    </row>
    <row r="14" ht="4.5" customHeight="1"/>
    <row r="15" spans="2:21" s="38" customFormat="1" ht="12.75" customHeight="1">
      <c r="B15" s="38" t="s">
        <v>29</v>
      </c>
      <c r="G15" s="39">
        <v>46.6</v>
      </c>
      <c r="I15" s="44">
        <v>61.9</v>
      </c>
      <c r="K15" s="39">
        <v>74.8</v>
      </c>
      <c r="M15" s="39">
        <v>88.3</v>
      </c>
      <c r="O15" s="39">
        <v>91.7</v>
      </c>
      <c r="Q15" s="39">
        <v>92.4</v>
      </c>
      <c r="S15" s="40">
        <f>S16*S7</f>
        <v>93.324</v>
      </c>
      <c r="U15" s="40">
        <f>U16*U7</f>
        <v>94.25724</v>
      </c>
    </row>
    <row r="16" spans="3:24" s="20" customFormat="1" ht="12.75" customHeight="1">
      <c r="C16" s="20" t="s">
        <v>26</v>
      </c>
      <c r="G16" s="41">
        <f>G15/G$7</f>
        <v>0.1256742179072276</v>
      </c>
      <c r="I16" s="41">
        <f>I15/I$7</f>
        <v>0.16255252100840334</v>
      </c>
      <c r="K16" s="41">
        <f>K15/K$7</f>
        <v>0.18583850931677018</v>
      </c>
      <c r="M16" s="41">
        <f>M15/M$7</f>
        <v>0.19275267408862692</v>
      </c>
      <c r="O16" s="41">
        <f>O15/O$7</f>
        <v>0.19594017094017094</v>
      </c>
      <c r="Q16" s="41">
        <f>Q15/Q$7</f>
        <v>0.19638682252922424</v>
      </c>
      <c r="S16" s="42">
        <f>Q16</f>
        <v>0.19638682252922424</v>
      </c>
      <c r="U16" s="41">
        <f>S16</f>
        <v>0.19638682252922424</v>
      </c>
      <c r="X16" s="37"/>
    </row>
    <row r="17" ht="4.5" customHeight="1"/>
    <row r="18" spans="1:22" ht="4.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6"/>
    </row>
    <row r="19" spans="1:24" s="10" customFormat="1" ht="12.75">
      <c r="A19" s="47"/>
      <c r="B19" s="47" t="s">
        <v>30</v>
      </c>
      <c r="C19" s="47"/>
      <c r="D19" s="47"/>
      <c r="E19" s="47"/>
      <c r="F19" s="47"/>
      <c r="G19" s="48">
        <f>G12-G15</f>
        <v>141.70000000000002</v>
      </c>
      <c r="H19" s="47"/>
      <c r="I19" s="48">
        <f>I12-I15</f>
        <v>130.3</v>
      </c>
      <c r="J19" s="47"/>
      <c r="K19" s="48">
        <f>K12-K15</f>
        <v>120.00000000000001</v>
      </c>
      <c r="L19" s="47"/>
      <c r="M19" s="48">
        <f>M12-M15</f>
        <v>130.20000000000005</v>
      </c>
      <c r="N19" s="47"/>
      <c r="O19" s="48">
        <f>O12-O15</f>
        <v>126.49999999999999</v>
      </c>
      <c r="P19" s="47"/>
      <c r="Q19" s="48">
        <f>Q12-Q15</f>
        <v>125.9</v>
      </c>
      <c r="R19" s="47"/>
      <c r="S19" s="48">
        <f>S12-S15</f>
        <v>127.159</v>
      </c>
      <c r="T19" s="47"/>
      <c r="U19" s="48">
        <f>U12-U15</f>
        <v>128.43059000000002</v>
      </c>
      <c r="V19" s="49"/>
      <c r="X19" s="34">
        <f>(U19/M19)^(1/(U$5-$M$5))-1</f>
        <v>-0.003414937546371344</v>
      </c>
    </row>
    <row r="20" spans="1:24" s="20" customFormat="1" ht="12.75" customHeight="1">
      <c r="A20" s="50"/>
      <c r="B20" s="50"/>
      <c r="C20" s="50" t="s">
        <v>28</v>
      </c>
      <c r="D20" s="50"/>
      <c r="E20" s="50"/>
      <c r="F20" s="50"/>
      <c r="G20" s="51">
        <f>G19/G$7</f>
        <v>0.38214670981661275</v>
      </c>
      <c r="H20" s="50"/>
      <c r="I20" s="51">
        <f>I19/I$7</f>
        <v>0.34217436974789917</v>
      </c>
      <c r="J20" s="50"/>
      <c r="K20" s="51">
        <f>K19/K$7</f>
        <v>0.2981366459627329</v>
      </c>
      <c r="L20" s="50"/>
      <c r="M20" s="51">
        <f>M19/M$7</f>
        <v>0.2842174197773413</v>
      </c>
      <c r="N20" s="50"/>
      <c r="O20" s="51">
        <f>O19/O$7</f>
        <v>0.2702991452991453</v>
      </c>
      <c r="P20" s="50"/>
      <c r="Q20" s="51">
        <f>Q19/Q$7</f>
        <v>0.26758767268862915</v>
      </c>
      <c r="R20" s="50"/>
      <c r="S20" s="51">
        <f>S19/S$7</f>
        <v>0.26758767268862915</v>
      </c>
      <c r="T20" s="50"/>
      <c r="U20" s="51">
        <f>U19/U$7</f>
        <v>0.26758767268862915</v>
      </c>
      <c r="V20" s="52"/>
      <c r="X20" s="37"/>
    </row>
    <row r="21" spans="1:22" ht="4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53"/>
    </row>
    <row r="22" spans="1:22" s="38" customFormat="1" ht="12.75" customHeight="1">
      <c r="A22" s="54"/>
      <c r="B22" s="54" t="s">
        <v>31</v>
      </c>
      <c r="C22" s="54"/>
      <c r="D22" s="54"/>
      <c r="E22" s="54"/>
      <c r="F22" s="54"/>
      <c r="G22" s="44">
        <v>14</v>
      </c>
      <c r="H22" s="54"/>
      <c r="I22" s="55">
        <v>11.1</v>
      </c>
      <c r="J22" s="54"/>
      <c r="K22" s="55">
        <v>12.1</v>
      </c>
      <c r="L22" s="54"/>
      <c r="M22" s="55">
        <v>14.1</v>
      </c>
      <c r="N22" s="54"/>
      <c r="O22" s="55">
        <v>14.1</v>
      </c>
      <c r="P22" s="54"/>
      <c r="Q22" s="55">
        <v>14.1</v>
      </c>
      <c r="R22" s="54"/>
      <c r="S22" s="56">
        <f>S23*S7</f>
        <v>14.241</v>
      </c>
      <c r="T22" s="54"/>
      <c r="U22" s="56">
        <f>U23*U7</f>
        <v>14.38341</v>
      </c>
      <c r="V22" s="57"/>
    </row>
    <row r="23" spans="1:24" s="20" customFormat="1" ht="12.75" customHeight="1">
      <c r="A23" s="50"/>
      <c r="B23" s="50"/>
      <c r="C23" s="50" t="s">
        <v>26</v>
      </c>
      <c r="D23" s="50"/>
      <c r="E23" s="50"/>
      <c r="F23" s="50"/>
      <c r="G23" s="51">
        <f>G22/G$7</f>
        <v>0.037756202804746494</v>
      </c>
      <c r="H23" s="50"/>
      <c r="I23" s="51">
        <f>I22/I$7</f>
        <v>0.029149159663865543</v>
      </c>
      <c r="J23" s="50"/>
      <c r="K23" s="51">
        <f>K22/K$7</f>
        <v>0.030062111801242235</v>
      </c>
      <c r="L23" s="50"/>
      <c r="M23" s="51">
        <f>M22/M$7</f>
        <v>0.03077930582842174</v>
      </c>
      <c r="N23" s="50"/>
      <c r="O23" s="51">
        <f>O22/O$7</f>
        <v>0.03012820512820513</v>
      </c>
      <c r="P23" s="50"/>
      <c r="Q23" s="51">
        <f>Q22/Q$7</f>
        <v>0.029968119022316685</v>
      </c>
      <c r="R23" s="50"/>
      <c r="S23" s="58">
        <f>Q23</f>
        <v>0.029968119022316685</v>
      </c>
      <c r="T23" s="50"/>
      <c r="U23" s="51">
        <f>S23</f>
        <v>0.029968119022316685</v>
      </c>
      <c r="V23" s="52"/>
      <c r="X23" s="37"/>
    </row>
    <row r="24" spans="1:22" s="38" customFormat="1" ht="12.75" customHeight="1">
      <c r="A24" s="54"/>
      <c r="B24" s="54" t="s">
        <v>32</v>
      </c>
      <c r="C24" s="54"/>
      <c r="D24" s="54"/>
      <c r="E24" s="54"/>
      <c r="F24" s="54"/>
      <c r="G24" s="44">
        <v>25.7</v>
      </c>
      <c r="H24" s="54"/>
      <c r="I24" s="55">
        <v>18.2</v>
      </c>
      <c r="J24" s="54"/>
      <c r="K24" s="55">
        <v>18.6</v>
      </c>
      <c r="L24" s="54"/>
      <c r="M24" s="55">
        <v>19.6</v>
      </c>
      <c r="N24" s="54"/>
      <c r="O24" s="55">
        <v>19.9</v>
      </c>
      <c r="P24" s="54"/>
      <c r="Q24" s="55">
        <v>20</v>
      </c>
      <c r="R24" s="54"/>
      <c r="S24" s="56">
        <f>Q24</f>
        <v>20</v>
      </c>
      <c r="T24" s="54"/>
      <c r="U24" s="56">
        <f>S24</f>
        <v>20</v>
      </c>
      <c r="V24" s="57"/>
    </row>
    <row r="25" spans="1:24" s="20" customFormat="1" ht="12.75" customHeight="1" thickBot="1">
      <c r="A25" s="50"/>
      <c r="B25" s="50"/>
      <c r="C25" s="50" t="s">
        <v>26</v>
      </c>
      <c r="D25" s="50"/>
      <c r="E25" s="50"/>
      <c r="F25" s="50"/>
      <c r="G25" s="51">
        <f>G24/G$7</f>
        <v>0.06930960086299892</v>
      </c>
      <c r="H25" s="50"/>
      <c r="I25" s="51">
        <f>I24/I$7</f>
        <v>0.04779411764705882</v>
      </c>
      <c r="J25" s="50"/>
      <c r="K25" s="51">
        <f>K24/K$7</f>
        <v>0.04621118012422361</v>
      </c>
      <c r="L25" s="50"/>
      <c r="M25" s="51">
        <f>M24/M$7</f>
        <v>0.0427854180309976</v>
      </c>
      <c r="N25" s="50"/>
      <c r="O25" s="51">
        <f>O24/O$7</f>
        <v>0.042521367521367516</v>
      </c>
      <c r="P25" s="50"/>
      <c r="Q25" s="51">
        <f>Q24/Q$7</f>
        <v>0.04250797024442083</v>
      </c>
      <c r="R25" s="50"/>
      <c r="S25" s="51">
        <f>S24/S$7</f>
        <v>0.042087099251901815</v>
      </c>
      <c r="T25" s="50"/>
      <c r="U25" s="51">
        <f>U24/U$7</f>
        <v>0.041670395298912685</v>
      </c>
      <c r="V25" s="52"/>
      <c r="X25" s="37"/>
    </row>
    <row r="26" spans="1:22" ht="12.75">
      <c r="A26" s="6"/>
      <c r="B26" s="6" t="s">
        <v>33</v>
      </c>
      <c r="C26" s="6"/>
      <c r="D26" s="6"/>
      <c r="E26" s="6"/>
      <c r="F26" s="6"/>
      <c r="G26" s="79">
        <f>G24+G22</f>
        <v>39.7</v>
      </c>
      <c r="H26" s="80"/>
      <c r="I26" s="79">
        <f>I24+I22</f>
        <v>29.299999999999997</v>
      </c>
      <c r="J26" s="80"/>
      <c r="K26" s="79">
        <f>K24+K22</f>
        <v>30.700000000000003</v>
      </c>
      <c r="L26" s="80"/>
      <c r="M26" s="79">
        <f>M24+M22</f>
        <v>33.7</v>
      </c>
      <c r="N26" s="80"/>
      <c r="O26" s="79">
        <f>O24+O22</f>
        <v>34</v>
      </c>
      <c r="P26" s="80"/>
      <c r="Q26" s="79">
        <f>Q24+Q22</f>
        <v>34.1</v>
      </c>
      <c r="R26" s="80"/>
      <c r="S26" s="79">
        <f>S24+S22</f>
        <v>34.241</v>
      </c>
      <c r="T26" s="80"/>
      <c r="U26" s="79">
        <f>U24+U22</f>
        <v>34.38341</v>
      </c>
      <c r="V26" s="53"/>
    </row>
    <row r="27" spans="1:24" s="20" customFormat="1" ht="12.75" customHeight="1">
      <c r="A27" s="50"/>
      <c r="B27" s="50"/>
      <c r="C27" s="50" t="s">
        <v>26</v>
      </c>
      <c r="D27" s="50"/>
      <c r="E27" s="50"/>
      <c r="F27" s="50"/>
      <c r="G27" s="51">
        <f>G26/G$7</f>
        <v>0.10706580366774542</v>
      </c>
      <c r="H27" s="50"/>
      <c r="I27" s="51">
        <f>I26/I$7</f>
        <v>0.07694327731092436</v>
      </c>
      <c r="J27" s="50"/>
      <c r="K27" s="51">
        <f>K26/K$7</f>
        <v>0.07627329192546585</v>
      </c>
      <c r="L27" s="50"/>
      <c r="M27" s="51">
        <f>M26/M$7</f>
        <v>0.07356472385941934</v>
      </c>
      <c r="N27" s="50"/>
      <c r="O27" s="51">
        <f>O26/O$7</f>
        <v>0.07264957264957266</v>
      </c>
      <c r="P27" s="50"/>
      <c r="Q27" s="51">
        <f>Q26/Q$7</f>
        <v>0.07247608926673751</v>
      </c>
      <c r="R27" s="50"/>
      <c r="S27" s="51">
        <f>S26/S$7</f>
        <v>0.0720552182742185</v>
      </c>
      <c r="T27" s="50"/>
      <c r="U27" s="51">
        <f>U26/U$7</f>
        <v>0.07163851432122936</v>
      </c>
      <c r="V27" s="52"/>
      <c r="X27" s="37"/>
    </row>
    <row r="28" spans="1:22" ht="4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53"/>
    </row>
    <row r="29" spans="1:22" s="38" customFormat="1" ht="12.75">
      <c r="A29" s="54"/>
      <c r="B29" s="54" t="s">
        <v>34</v>
      </c>
      <c r="C29" s="54"/>
      <c r="D29" s="54"/>
      <c r="E29" s="54"/>
      <c r="F29" s="54"/>
      <c r="G29" s="55">
        <v>16.5</v>
      </c>
      <c r="H29" s="54"/>
      <c r="I29" s="55">
        <v>13.4</v>
      </c>
      <c r="J29" s="54"/>
      <c r="K29" s="55">
        <v>11.3</v>
      </c>
      <c r="L29" s="54"/>
      <c r="M29" s="55">
        <v>10.8</v>
      </c>
      <c r="N29" s="54"/>
      <c r="O29" s="55">
        <v>10.6</v>
      </c>
      <c r="P29" s="54"/>
      <c r="Q29" s="55">
        <v>10.7</v>
      </c>
      <c r="R29" s="54"/>
      <c r="S29" s="56">
        <f>S30*S7</f>
        <v>10.806999999999999</v>
      </c>
      <c r="T29" s="54"/>
      <c r="U29" s="56">
        <f>U30*U7</f>
        <v>10.915069999999998</v>
      </c>
      <c r="V29" s="57"/>
    </row>
    <row r="30" spans="1:24" s="20" customFormat="1" ht="12.75" customHeight="1">
      <c r="A30" s="50"/>
      <c r="B30" s="50"/>
      <c r="C30" s="50" t="s">
        <v>26</v>
      </c>
      <c r="D30" s="50"/>
      <c r="E30" s="50"/>
      <c r="F30" s="50"/>
      <c r="G30" s="51">
        <f>G29/G$7</f>
        <v>0.04449838187702265</v>
      </c>
      <c r="H30" s="50"/>
      <c r="I30" s="51">
        <f>I29/I$7</f>
        <v>0.0351890756302521</v>
      </c>
      <c r="J30" s="50"/>
      <c r="K30" s="51">
        <f>K29/K$7</f>
        <v>0.028074534161490684</v>
      </c>
      <c r="L30" s="50"/>
      <c r="M30" s="51">
        <f>M29/M$7</f>
        <v>0.023575638506876228</v>
      </c>
      <c r="N30" s="50"/>
      <c r="O30" s="51">
        <f>O29/O$7</f>
        <v>0.02264957264957265</v>
      </c>
      <c r="P30" s="50"/>
      <c r="Q30" s="51">
        <f>Q29/Q$7</f>
        <v>0.022741764080765142</v>
      </c>
      <c r="R30" s="50"/>
      <c r="S30" s="58">
        <f>Q30</f>
        <v>0.022741764080765142</v>
      </c>
      <c r="T30" s="50"/>
      <c r="U30" s="51">
        <f>S30</f>
        <v>0.022741764080765142</v>
      </c>
      <c r="V30" s="52"/>
      <c r="X30" s="37"/>
    </row>
    <row r="31" spans="1:22" ht="4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53"/>
    </row>
    <row r="32" spans="1:24" s="10" customFormat="1" ht="12.75">
      <c r="A32" s="47"/>
      <c r="B32" s="47" t="s">
        <v>35</v>
      </c>
      <c r="C32" s="47"/>
      <c r="D32" s="47"/>
      <c r="E32" s="47"/>
      <c r="F32" s="47"/>
      <c r="G32" s="48">
        <f>G19-G26-G29</f>
        <v>85.50000000000001</v>
      </c>
      <c r="H32" s="47"/>
      <c r="I32" s="48">
        <f>I19-I26-I29</f>
        <v>87.60000000000001</v>
      </c>
      <c r="J32" s="47"/>
      <c r="K32" s="48">
        <f>K19-K26-K29</f>
        <v>78.00000000000001</v>
      </c>
      <c r="L32" s="47"/>
      <c r="M32" s="48">
        <f>M19-M26-M29</f>
        <v>85.70000000000005</v>
      </c>
      <c r="N32" s="47"/>
      <c r="O32" s="48">
        <f>O19-O26-O29</f>
        <v>81.89999999999999</v>
      </c>
      <c r="P32" s="47"/>
      <c r="Q32" s="48">
        <f>Q19-Q26-Q29</f>
        <v>81.10000000000001</v>
      </c>
      <c r="R32" s="47"/>
      <c r="S32" s="48">
        <f>S19-S26-S29</f>
        <v>82.111</v>
      </c>
      <c r="T32" s="47"/>
      <c r="U32" s="48">
        <f>U19-U26-U29</f>
        <v>83.13211000000003</v>
      </c>
      <c r="V32" s="49"/>
      <c r="X32" s="34">
        <f>(U32/M32)^(1/(U$5-$M$5))-1</f>
        <v>-0.0075766008655852035</v>
      </c>
    </row>
    <row r="33" spans="1:24" s="20" customFormat="1" ht="12.75" customHeight="1">
      <c r="A33" s="50"/>
      <c r="B33" s="50"/>
      <c r="C33" s="50" t="s">
        <v>28</v>
      </c>
      <c r="D33" s="50"/>
      <c r="E33" s="50"/>
      <c r="F33" s="50"/>
      <c r="G33" s="51">
        <f>G32/G$7</f>
        <v>0.2305825242718447</v>
      </c>
      <c r="H33" s="50"/>
      <c r="I33" s="51">
        <f>I32/I$7</f>
        <v>0.2300420168067227</v>
      </c>
      <c r="J33" s="50"/>
      <c r="K33" s="51">
        <f>K32/K$7</f>
        <v>0.19378881987577642</v>
      </c>
      <c r="L33" s="50"/>
      <c r="M33" s="51">
        <f>M32/M$7</f>
        <v>0.18707705741104572</v>
      </c>
      <c r="N33" s="50"/>
      <c r="O33" s="51">
        <f>O32/O$7</f>
        <v>0.175</v>
      </c>
      <c r="P33" s="50"/>
      <c r="Q33" s="51">
        <f>Q32/Q$7</f>
        <v>0.17236981934112647</v>
      </c>
      <c r="R33" s="50"/>
      <c r="S33" s="51">
        <f>S32/S$7</f>
        <v>0.1727906903336455</v>
      </c>
      <c r="T33" s="50"/>
      <c r="U33" s="51">
        <f>U32/U$7</f>
        <v>0.17320739428663467</v>
      </c>
      <c r="V33" s="52"/>
      <c r="X33" s="37"/>
    </row>
    <row r="34" spans="1:22" ht="4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53"/>
    </row>
    <row r="35" spans="1:24" s="10" customFormat="1" ht="12.75">
      <c r="A35" s="47"/>
      <c r="B35" s="47" t="s">
        <v>36</v>
      </c>
      <c r="C35" s="47"/>
      <c r="D35" s="47"/>
      <c r="E35" s="47"/>
      <c r="F35" s="47"/>
      <c r="G35" s="48">
        <f>G32+G24+G29</f>
        <v>127.70000000000002</v>
      </c>
      <c r="H35" s="47"/>
      <c r="I35" s="48">
        <f>I32+I24+I29</f>
        <v>119.20000000000002</v>
      </c>
      <c r="J35" s="47"/>
      <c r="K35" s="48">
        <f>K32+K24+K29</f>
        <v>107.90000000000002</v>
      </c>
      <c r="L35" s="47"/>
      <c r="M35" s="48">
        <f>M32+M24+M29</f>
        <v>116.10000000000004</v>
      </c>
      <c r="N35" s="47"/>
      <c r="O35" s="48">
        <f>O32+O24+O29</f>
        <v>112.39999999999998</v>
      </c>
      <c r="P35" s="47"/>
      <c r="Q35" s="48">
        <f>Q32+Q24+Q29</f>
        <v>111.80000000000001</v>
      </c>
      <c r="R35" s="47"/>
      <c r="S35" s="48">
        <f>S32+S24+S29</f>
        <v>112.918</v>
      </c>
      <c r="T35" s="47"/>
      <c r="U35" s="48">
        <f>U32+U24+U29</f>
        <v>114.04718000000003</v>
      </c>
      <c r="V35" s="49"/>
      <c r="X35" s="34">
        <f>(U35/M35)^(1/(U$5-$M$5))-1</f>
        <v>-0.004449985910014886</v>
      </c>
    </row>
    <row r="36" spans="1:24" s="20" customFormat="1" ht="12.75" customHeight="1">
      <c r="A36" s="50"/>
      <c r="B36" s="50"/>
      <c r="C36" s="50" t="s">
        <v>28</v>
      </c>
      <c r="D36" s="50"/>
      <c r="E36" s="50"/>
      <c r="F36" s="50"/>
      <c r="G36" s="51">
        <f>G35/G$7</f>
        <v>0.3443905070118663</v>
      </c>
      <c r="H36" s="50"/>
      <c r="I36" s="51">
        <f>I35/I$7</f>
        <v>0.31302521008403367</v>
      </c>
      <c r="J36" s="50"/>
      <c r="K36" s="51">
        <f>K35/K$7</f>
        <v>0.26807453416149074</v>
      </c>
      <c r="L36" s="50"/>
      <c r="M36" s="51">
        <f>M35/M$7</f>
        <v>0.2534381139489195</v>
      </c>
      <c r="N36" s="50"/>
      <c r="O36" s="51">
        <f>O35/O$7</f>
        <v>0.24017094017094012</v>
      </c>
      <c r="P36" s="50"/>
      <c r="Q36" s="51">
        <f>Q35/Q$7</f>
        <v>0.23761955366631246</v>
      </c>
      <c r="R36" s="50"/>
      <c r="S36" s="51">
        <f>S35/S$7</f>
        <v>0.23761955366631246</v>
      </c>
      <c r="T36" s="50"/>
      <c r="U36" s="51">
        <f>U35/U$7</f>
        <v>0.2376195536663125</v>
      </c>
      <c r="V36" s="52"/>
      <c r="X36" s="37"/>
    </row>
    <row r="37" spans="1:22" ht="4.5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60"/>
    </row>
    <row r="38" ht="4.5" customHeight="1">
      <c r="C38" s="61"/>
    </row>
    <row r="39" spans="2:21" s="38" customFormat="1" ht="12.75">
      <c r="B39" s="38" t="s">
        <v>37</v>
      </c>
      <c r="G39" s="39">
        <v>4.9</v>
      </c>
      <c r="I39" s="39">
        <v>0.9</v>
      </c>
      <c r="K39" s="62">
        <v>0</v>
      </c>
      <c r="M39" s="39">
        <v>-2.4</v>
      </c>
      <c r="O39" s="62">
        <v>0</v>
      </c>
      <c r="P39" s="5"/>
      <c r="Q39" s="62">
        <v>0</v>
      </c>
      <c r="S39" s="63">
        <f>Q39</f>
        <v>0</v>
      </c>
      <c r="T39" s="64"/>
      <c r="U39" s="63">
        <f>S39</f>
        <v>0</v>
      </c>
    </row>
    <row r="40" spans="2:21" ht="12.75">
      <c r="B40" t="s">
        <v>38</v>
      </c>
      <c r="G40" s="62">
        <v>0</v>
      </c>
      <c r="I40" s="62">
        <v>0</v>
      </c>
      <c r="K40" s="62">
        <v>0</v>
      </c>
      <c r="M40" s="62">
        <v>0</v>
      </c>
      <c r="O40" s="62">
        <v>0</v>
      </c>
      <c r="Q40" s="62">
        <v>0</v>
      </c>
      <c r="S40" s="63">
        <f>Q40</f>
        <v>0</v>
      </c>
      <c r="T40" s="64"/>
      <c r="U40" s="63">
        <f>S40</f>
        <v>0</v>
      </c>
    </row>
    <row r="41" spans="2:21" ht="12.75">
      <c r="B41" t="s">
        <v>39</v>
      </c>
      <c r="G41" s="62">
        <v>0</v>
      </c>
      <c r="I41" s="62">
        <v>0</v>
      </c>
      <c r="K41" s="62">
        <v>0</v>
      </c>
      <c r="M41" s="62">
        <v>0</v>
      </c>
      <c r="O41" s="62">
        <v>0</v>
      </c>
      <c r="Q41" s="62">
        <v>0</v>
      </c>
      <c r="S41" s="63">
        <f>Q41</f>
        <v>0</v>
      </c>
      <c r="T41" s="64"/>
      <c r="U41" s="63">
        <f>S41</f>
        <v>0</v>
      </c>
    </row>
    <row r="42" spans="2:21" s="38" customFormat="1" ht="13.5" customHeight="1" thickBot="1">
      <c r="B42" s="38" t="s">
        <v>40</v>
      </c>
      <c r="G42" s="39">
        <v>0.1</v>
      </c>
      <c r="I42" s="62">
        <v>0</v>
      </c>
      <c r="K42" s="62">
        <v>0</v>
      </c>
      <c r="M42" s="65">
        <v>-0.1</v>
      </c>
      <c r="N42" s="5"/>
      <c r="O42" s="62">
        <v>0</v>
      </c>
      <c r="P42" s="5"/>
      <c r="Q42" s="62">
        <v>0</v>
      </c>
      <c r="R42" s="5"/>
      <c r="S42" s="63">
        <f>Q42</f>
        <v>0</v>
      </c>
      <c r="T42" s="66"/>
      <c r="U42" s="63">
        <f>S42</f>
        <v>0</v>
      </c>
    </row>
    <row r="43" spans="2:24" ht="12.75">
      <c r="B43" t="s">
        <v>41</v>
      </c>
      <c r="G43" s="43">
        <f>G35-SUM(G39:G42)</f>
        <v>122.70000000000002</v>
      </c>
      <c r="I43" s="43">
        <f>I35-SUM(I39:I42)</f>
        <v>118.30000000000001</v>
      </c>
      <c r="K43" s="43">
        <f>K35-SUM(K39:K42)</f>
        <v>107.90000000000002</v>
      </c>
      <c r="L43" s="67"/>
      <c r="M43" s="43">
        <f>M35-SUM(M39:M42)</f>
        <v>118.60000000000004</v>
      </c>
      <c r="O43" s="43">
        <f>O35-SUM(O39:O42)</f>
        <v>112.39999999999998</v>
      </c>
      <c r="Q43" s="43">
        <f>Q35-SUM(Q39:Q42)</f>
        <v>111.80000000000001</v>
      </c>
      <c r="R43" s="67"/>
      <c r="S43" s="43">
        <f>S35-SUM(S39:S42)</f>
        <v>112.918</v>
      </c>
      <c r="U43" s="43">
        <f>U35-SUM(U39:U42)</f>
        <v>114.04718000000003</v>
      </c>
      <c r="X43" s="34">
        <f>(U43/M43)^(1/(U$5-$M$5))-1</f>
        <v>-0.009738338305643857</v>
      </c>
    </row>
    <row r="44" ht="4.5" customHeight="1"/>
    <row r="45" spans="2:24" s="38" customFormat="1" ht="12.75">
      <c r="B45" s="38" t="s">
        <v>42</v>
      </c>
      <c r="G45" s="40">
        <f>G46*G43</f>
        <v>42.945</v>
      </c>
      <c r="I45" s="40">
        <f>I46*I43</f>
        <v>41.405</v>
      </c>
      <c r="K45" s="40">
        <f>K46*K43</f>
        <v>37.76500000000001</v>
      </c>
      <c r="M45" s="40">
        <f>M46*M43</f>
        <v>41.51000000000001</v>
      </c>
      <c r="O45" s="40">
        <f>O46*O43</f>
        <v>39.33999999999999</v>
      </c>
      <c r="Q45" s="40">
        <f>Q46*Q43</f>
        <v>39.13</v>
      </c>
      <c r="S45" s="40">
        <f>S46*S43</f>
        <v>39.5213</v>
      </c>
      <c r="U45" s="40">
        <f>U46*U43</f>
        <v>39.91651300000001</v>
      </c>
      <c r="X45" s="5"/>
    </row>
    <row r="46" spans="3:24" s="20" customFormat="1" ht="12.75" customHeight="1" thickBot="1">
      <c r="C46" s="20" t="s">
        <v>43</v>
      </c>
      <c r="G46" s="36">
        <v>0.35</v>
      </c>
      <c r="I46" s="68">
        <f>G46</f>
        <v>0.35</v>
      </c>
      <c r="K46" s="68">
        <f>I46</f>
        <v>0.35</v>
      </c>
      <c r="M46" s="68">
        <f>K46</f>
        <v>0.35</v>
      </c>
      <c r="O46" s="68">
        <f>M46</f>
        <v>0.35</v>
      </c>
      <c r="Q46" s="68">
        <f>O46</f>
        <v>0.35</v>
      </c>
      <c r="S46" s="68">
        <f>Q46</f>
        <v>0.35</v>
      </c>
      <c r="U46" s="68">
        <f>S46</f>
        <v>0.35</v>
      </c>
      <c r="X46" s="38"/>
    </row>
    <row r="47" spans="7:24" ht="4.5" customHeight="1">
      <c r="G47" s="43"/>
      <c r="I47" s="43"/>
      <c r="K47" s="43"/>
      <c r="M47" s="43"/>
      <c r="O47" s="43"/>
      <c r="Q47" s="43"/>
      <c r="S47" s="43"/>
      <c r="U47" s="43"/>
      <c r="X47" s="37"/>
    </row>
    <row r="48" spans="2:24" s="10" customFormat="1" ht="12.75">
      <c r="B48" s="10" t="s">
        <v>44</v>
      </c>
      <c r="G48" s="33">
        <f>G43-G45</f>
        <v>79.75500000000002</v>
      </c>
      <c r="H48" s="33"/>
      <c r="I48" s="33">
        <f>I43-I45</f>
        <v>76.89500000000001</v>
      </c>
      <c r="K48" s="33">
        <f>K43-K45</f>
        <v>70.13500000000002</v>
      </c>
      <c r="M48" s="33">
        <f>M43-M45</f>
        <v>77.09000000000003</v>
      </c>
      <c r="O48" s="33">
        <f>O43-O45</f>
        <v>73.05999999999999</v>
      </c>
      <c r="Q48" s="33">
        <f>Q43-Q45</f>
        <v>72.67000000000002</v>
      </c>
      <c r="S48" s="33">
        <f>S43-S45</f>
        <v>73.39670000000001</v>
      </c>
      <c r="U48" s="33">
        <f>U43-U45</f>
        <v>74.13066700000002</v>
      </c>
      <c r="X48" s="34">
        <f>(U48/M48)^(1/(U$5-$M$5))-1</f>
        <v>-0.009738338305643857</v>
      </c>
    </row>
    <row r="49" spans="3:21" s="20" customFormat="1" ht="12.75" customHeight="1">
      <c r="C49" s="20" t="s">
        <v>28</v>
      </c>
      <c r="G49" s="41">
        <f>G48/G$7</f>
        <v>0.2150889967637541</v>
      </c>
      <c r="I49" s="41">
        <f>I48/I$7</f>
        <v>0.20193014705882356</v>
      </c>
      <c r="K49" s="41">
        <f>K48/K$7</f>
        <v>0.174248447204969</v>
      </c>
      <c r="M49" s="41">
        <f>M48/M$7</f>
        <v>0.16828203449028603</v>
      </c>
      <c r="O49" s="41">
        <f>O48/O$7</f>
        <v>0.1561111111111111</v>
      </c>
      <c r="Q49" s="41">
        <f>Q48/Q$7</f>
        <v>0.1544527098831031</v>
      </c>
      <c r="S49" s="41">
        <f>S48/S$7</f>
        <v>0.1544527098831031</v>
      </c>
      <c r="U49" s="41">
        <f>U48/U$7</f>
        <v>0.1544527098831031</v>
      </c>
    </row>
    <row r="50" ht="4.5" customHeight="1">
      <c r="X50" s="37"/>
    </row>
    <row r="51" spans="1:24" s="10" customFormat="1" ht="12.75">
      <c r="A51" s="69"/>
      <c r="B51" s="69" t="s">
        <v>45</v>
      </c>
      <c r="C51" s="69"/>
      <c r="D51" s="69"/>
      <c r="E51" s="69"/>
      <c r="F51" s="69"/>
      <c r="G51" s="70">
        <f>G48/G53</f>
        <v>2.2745550992470918</v>
      </c>
      <c r="H51" s="69"/>
      <c r="I51" s="70">
        <f>I48/I53</f>
        <v>2.269628099173554</v>
      </c>
      <c r="J51" s="69"/>
      <c r="K51" s="70">
        <f>K48/K53</f>
        <v>1.971191680719506</v>
      </c>
      <c r="L51" s="69"/>
      <c r="M51" s="70">
        <f>M48/M53</f>
        <v>2.136640798226165</v>
      </c>
      <c r="N51" s="69"/>
      <c r="O51" s="70">
        <f>O48/O53</f>
        <v>1.997266265718972</v>
      </c>
      <c r="P51" s="69"/>
      <c r="Q51" s="70">
        <f>Q48/Q53</f>
        <v>1.9866047020229638</v>
      </c>
      <c r="R51" s="69"/>
      <c r="S51" s="70">
        <f>S48/S53</f>
        <v>2.0064707490431934</v>
      </c>
      <c r="T51" s="69"/>
      <c r="U51" s="70">
        <f>U48/U53</f>
        <v>2.0265354565336255</v>
      </c>
      <c r="V51" s="71"/>
      <c r="X51" s="34">
        <f>(U51/M51)^(1/(U$5-$M$5))-1</f>
        <v>-0.01313971321355989</v>
      </c>
    </row>
    <row r="52" ht="4.5" customHeight="1"/>
    <row r="53" spans="2:21" ht="12.75">
      <c r="B53" t="s">
        <v>46</v>
      </c>
      <c r="G53" s="72">
        <v>35.064</v>
      </c>
      <c r="H53" s="72"/>
      <c r="I53" s="72">
        <v>33.88</v>
      </c>
      <c r="J53" s="72"/>
      <c r="K53" s="72">
        <v>35.58</v>
      </c>
      <c r="L53" s="72"/>
      <c r="M53" s="72">
        <v>36.08</v>
      </c>
      <c r="N53" s="72"/>
      <c r="O53" s="72">
        <v>36.58</v>
      </c>
      <c r="P53" s="72"/>
      <c r="Q53" s="72">
        <v>36.58</v>
      </c>
      <c r="R53" s="73"/>
      <c r="S53" s="74">
        <f>Q53</f>
        <v>36.58</v>
      </c>
      <c r="T53" s="74"/>
      <c r="U53" s="74">
        <f>S53</f>
        <v>36.58</v>
      </c>
    </row>
    <row r="55" ht="12.75">
      <c r="B55" s="10" t="s">
        <v>47</v>
      </c>
    </row>
    <row r="56" spans="3:21" ht="12.75">
      <c r="C56" t="s">
        <v>32</v>
      </c>
      <c r="G56" s="75">
        <f>G24*(1-G46)</f>
        <v>16.705000000000002</v>
      </c>
      <c r="I56" s="75">
        <f>I24*(1-I46)</f>
        <v>11.83</v>
      </c>
      <c r="K56" s="75">
        <f>K24*(1-K46)</f>
        <v>12.090000000000002</v>
      </c>
      <c r="M56" s="75">
        <f>M24*(1-M46)</f>
        <v>12.740000000000002</v>
      </c>
      <c r="O56" s="75">
        <f>O24*(1-O46)</f>
        <v>12.934999999999999</v>
      </c>
      <c r="Q56" s="75">
        <f>Q24*(1-Q46)</f>
        <v>13</v>
      </c>
      <c r="S56" s="75">
        <f>S24*(1-S46)</f>
        <v>13</v>
      </c>
      <c r="U56" s="75">
        <f>U24*(1-U46)</f>
        <v>13</v>
      </c>
    </row>
    <row r="57" spans="3:21" ht="12.75">
      <c r="C57" t="s">
        <v>34</v>
      </c>
      <c r="G57" s="40">
        <f>G29*(1-G46)</f>
        <v>10.725</v>
      </c>
      <c r="I57" s="40">
        <f>I29*(1-I46)</f>
        <v>8.71</v>
      </c>
      <c r="K57" s="40">
        <f>K29*(1-K46)</f>
        <v>7.345000000000001</v>
      </c>
      <c r="M57" s="40">
        <f>M29*(1-M46)</f>
        <v>7.0200000000000005</v>
      </c>
      <c r="O57" s="40">
        <f>O29*(1-O46)</f>
        <v>6.89</v>
      </c>
      <c r="Q57" s="40">
        <f>Q29*(1-Q46)</f>
        <v>6.955</v>
      </c>
      <c r="S57" s="40">
        <f>S29*(1-S46)</f>
        <v>7.02455</v>
      </c>
      <c r="U57" s="40">
        <f>U29*(1-U46)</f>
        <v>7.094795499999999</v>
      </c>
    </row>
    <row r="58" spans="3:21" ht="13.5" customHeight="1" thickBot="1">
      <c r="C58" t="s">
        <v>48</v>
      </c>
      <c r="G58" s="39">
        <v>8.2</v>
      </c>
      <c r="I58" s="39">
        <v>3.4</v>
      </c>
      <c r="K58" s="39">
        <v>0.7</v>
      </c>
      <c r="M58" s="65">
        <v>0.1</v>
      </c>
      <c r="N58" s="64"/>
      <c r="O58" s="62">
        <v>0</v>
      </c>
      <c r="P58" s="64"/>
      <c r="Q58" s="62">
        <v>0</v>
      </c>
      <c r="R58" s="64"/>
      <c r="S58" s="63">
        <f>Q58</f>
        <v>0</v>
      </c>
      <c r="T58" s="64"/>
      <c r="U58" s="63">
        <f>S58</f>
        <v>0</v>
      </c>
    </row>
    <row r="59" spans="7:21" ht="4.5" customHeight="1">
      <c r="G59" s="43"/>
      <c r="I59" s="43"/>
      <c r="K59" s="43"/>
      <c r="M59" s="43"/>
      <c r="O59" s="76"/>
      <c r="Q59" s="76"/>
      <c r="S59" s="76"/>
      <c r="U59" s="76"/>
    </row>
    <row r="60" spans="2:24" s="10" customFormat="1" ht="12.75">
      <c r="B60" s="10" t="s">
        <v>49</v>
      </c>
      <c r="G60" s="33">
        <f>G48-SUM(G56:G58)</f>
        <v>44.12500000000003</v>
      </c>
      <c r="I60" s="33">
        <f>I48-SUM(I56:I58)</f>
        <v>52.95500000000001</v>
      </c>
      <c r="K60" s="33">
        <f>K48-SUM(K56:K58)</f>
        <v>50.000000000000014</v>
      </c>
      <c r="M60" s="33">
        <f>M48-SUM(M56:M58)</f>
        <v>57.23000000000003</v>
      </c>
      <c r="O60" s="33">
        <f>O48-SUM(O56:O58)</f>
        <v>53.234999999999985</v>
      </c>
      <c r="Q60" s="33">
        <f>Q48-SUM(Q56:Q58)</f>
        <v>52.71500000000002</v>
      </c>
      <c r="S60" s="33">
        <f>S48-SUM(S56:S58)</f>
        <v>53.37215000000001</v>
      </c>
      <c r="U60" s="33">
        <f>U48-SUM(U56:U58)</f>
        <v>54.03587150000001</v>
      </c>
      <c r="X60" s="34">
        <f>(U60/M60)^(1/(U$5-$M$5))-1</f>
        <v>-0.014254953002548976</v>
      </c>
    </row>
    <row r="61" spans="3:21" s="20" customFormat="1" ht="12.75" customHeight="1">
      <c r="C61" s="20" t="s">
        <v>28</v>
      </c>
      <c r="G61" s="41">
        <f>G60/G$7</f>
        <v>0.11899946062567429</v>
      </c>
      <c r="I61" s="41">
        <f>I60/I$7</f>
        <v>0.13906250000000003</v>
      </c>
      <c r="K61" s="41">
        <f>K60/K$7</f>
        <v>0.12422360248447209</v>
      </c>
      <c r="M61" s="41">
        <f>M60/M$7</f>
        <v>0.1249290547915303</v>
      </c>
      <c r="O61" s="41">
        <f>O60/O$7</f>
        <v>0.11374999999999996</v>
      </c>
      <c r="Q61" s="41">
        <f>Q60/Q$7</f>
        <v>0.11204038257173224</v>
      </c>
      <c r="S61" s="41">
        <f>S60/S$7</f>
        <v>0.11231394871686959</v>
      </c>
      <c r="U61" s="41">
        <f>U60/U$7</f>
        <v>0.11258480628631252</v>
      </c>
    </row>
    <row r="62" ht="4.5" customHeight="1">
      <c r="X62" s="37"/>
    </row>
    <row r="63" spans="1:24" ht="12.75">
      <c r="A63" s="69"/>
      <c r="B63" s="69" t="s">
        <v>50</v>
      </c>
      <c r="C63" s="69"/>
      <c r="D63" s="69"/>
      <c r="E63" s="69"/>
      <c r="F63" s="69"/>
      <c r="G63" s="70">
        <f>G60/G53</f>
        <v>1.2584131873146256</v>
      </c>
      <c r="H63" s="69"/>
      <c r="I63" s="70">
        <f>I60/I53</f>
        <v>1.5630165289256202</v>
      </c>
      <c r="J63" s="69"/>
      <c r="K63" s="70">
        <f>K60/K53</f>
        <v>1.4052838673412034</v>
      </c>
      <c r="L63" s="69"/>
      <c r="M63" s="70">
        <f>M60/M53</f>
        <v>1.5861973392461206</v>
      </c>
      <c r="N63" s="69"/>
      <c r="O63" s="70">
        <f>O60/O53</f>
        <v>1.4553034445051938</v>
      </c>
      <c r="P63" s="69"/>
      <c r="Q63" s="70">
        <f>Q60/Q53</f>
        <v>1.4410880262438497</v>
      </c>
      <c r="R63" s="69"/>
      <c r="S63" s="70">
        <f>S60/S53</f>
        <v>1.4590527610716242</v>
      </c>
      <c r="T63" s="69"/>
      <c r="U63" s="70">
        <f>U60/U53</f>
        <v>1.4771971432476767</v>
      </c>
      <c r="V63" s="71"/>
      <c r="X63" s="34">
        <f>(U63/M63)^(1/(U$5-$M$5))-1</f>
        <v>-0.017640814132144578</v>
      </c>
    </row>
    <row r="65" spans="2:21" s="77" customFormat="1" ht="12.75" customHeight="1">
      <c r="B65" s="77" t="s">
        <v>51</v>
      </c>
      <c r="G65" s="78">
        <v>26</v>
      </c>
      <c r="I65" s="78">
        <v>12.5</v>
      </c>
      <c r="K65" s="78">
        <v>18</v>
      </c>
      <c r="M65" s="78">
        <v>16</v>
      </c>
      <c r="O65" s="78">
        <v>14.1</v>
      </c>
      <c r="Q65" s="75">
        <f>Q66*Q7</f>
        <v>14.175320512820512</v>
      </c>
      <c r="S65" s="75">
        <f>S66*S7</f>
        <v>14.317073717948718</v>
      </c>
      <c r="U65" s="75">
        <f>U66*U7</f>
        <v>14.460244455128205</v>
      </c>
    </row>
    <row r="66" spans="1:23" s="20" customFormat="1" ht="12.75" customHeight="1">
      <c r="A66" s="50"/>
      <c r="B66" s="50"/>
      <c r="C66" s="50" t="s">
        <v>26</v>
      </c>
      <c r="D66" s="50"/>
      <c r="E66" s="50"/>
      <c r="F66" s="50"/>
      <c r="G66" s="51">
        <f>G65/G$7</f>
        <v>0.07011866235167206</v>
      </c>
      <c r="H66" s="50"/>
      <c r="I66" s="51">
        <f>I65/I$7</f>
        <v>0.03282563025210084</v>
      </c>
      <c r="J66" s="50"/>
      <c r="K66" s="51">
        <f>K65/K$7</f>
        <v>0.04472049689440994</v>
      </c>
      <c r="L66" s="50"/>
      <c r="M66" s="51">
        <f>M65/M$7</f>
        <v>0.034926871862038855</v>
      </c>
      <c r="N66" s="50"/>
      <c r="O66" s="51">
        <f>O65/O$7</f>
        <v>0.03012820512820513</v>
      </c>
      <c r="P66" s="50"/>
      <c r="Q66" s="51">
        <f>O66</f>
        <v>0.03012820512820513</v>
      </c>
      <c r="R66" s="50"/>
      <c r="S66" s="51">
        <f>Q66</f>
        <v>0.03012820512820513</v>
      </c>
      <c r="T66" s="50"/>
      <c r="U66" s="51">
        <f>S66</f>
        <v>0.03012820512820513</v>
      </c>
      <c r="V66" s="50"/>
      <c r="W66" s="5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MacGregor</dc:creator>
  <cp:keywords/>
  <dc:description/>
  <cp:lastModifiedBy>Ryan MacGregor</cp:lastModifiedBy>
  <dcterms:created xsi:type="dcterms:W3CDTF">2009-06-11T16:36:02Z</dcterms:created>
  <dcterms:modified xsi:type="dcterms:W3CDTF">2009-06-15T18:58:45Z</dcterms:modified>
  <cp:category/>
  <cp:version/>
  <cp:contentType/>
  <cp:contentStatus/>
</cp:coreProperties>
</file>