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780" activeTab="0"/>
  </bookViews>
  <sheets>
    <sheet name="LBO" sheetId="1" r:id="rId1"/>
    <sheet name="Target P&amp;L" sheetId="2" r:id="rId2"/>
  </sheets>
  <externalReferences>
    <externalReference r:id="rId5"/>
  </externalReferences>
  <definedNames>
    <definedName name="avg_int">'LBO'!$Q$29</definedName>
    <definedName name="curr_date">'LBO'!$Y$37</definedName>
    <definedName name="depr">'LBO'!$B$145</definedName>
    <definedName name="err_msg">'LBO'!#REF!</definedName>
    <definedName name="fin_case">'LBO'!$Q$42</definedName>
    <definedName name="fye">'LBO'!$Y$35</definedName>
    <definedName name="goodwill">'LBO'!$AI$26</definedName>
    <definedName name="LBO">'LBO'!$S$317</definedName>
    <definedName name="libor">'LBO'!$Q$26</definedName>
    <definedName name="ltm_date">'LBO'!$Y$36</definedName>
    <definedName name="ltm_ebitda">'LBO'!$M$60</definedName>
    <definedName name="min_cash">'LBO'!$Q$37</definedName>
    <definedName name="op_case">'LBO'!$Y$27</definedName>
    <definedName name="refi">'LBO'!$Q$33</definedName>
    <definedName name="revolver">'LBO'!$Q$38</definedName>
    <definedName name="stub">'LBO'!$Y$41</definedName>
    <definedName name="tax_rate">'LBO'!$AI$11</definedName>
    <definedName name="tgt">'LBO'!$AI$30</definedName>
    <definedName name="trans_price">'LBO'!$Y$8</definedName>
    <definedName name="treas">'LBO'!$Q$27</definedName>
  </definedNames>
  <calcPr calcMode="autoNoTable" fullCalcOnLoad="1" iterate="1" iterateCount="1000" iterateDelta="0.001"/>
</workbook>
</file>

<file path=xl/comments1.xml><?xml version="1.0" encoding="utf-8"?>
<comments xmlns="http://schemas.openxmlformats.org/spreadsheetml/2006/main">
  <authors>
    <author>Ryan MacGregor</author>
  </authors>
  <commentList>
    <comment ref="Y38" authorId="0">
      <text>
        <r>
          <rPr>
            <sz val="8"/>
            <color indexed="8"/>
            <rFont val="Tahoma"/>
            <family val="0"/>
          </rPr>
          <t>Closing date should be no more than 12 months from the last FYE or model will break.</t>
        </r>
      </text>
    </comment>
    <comment ref="Y40" authorId="0">
      <text>
        <r>
          <rPr>
            <sz val="8"/>
            <color indexed="8"/>
            <rFont val="Tahoma"/>
            <family val="0"/>
          </rPr>
          <t>This should never be less than zero.</t>
        </r>
      </text>
    </comment>
    <comment ref="A55" authorId="0">
      <text>
        <r>
          <rPr>
            <sz val="8"/>
            <color indexed="8"/>
            <rFont val="Tahoma"/>
            <family val="0"/>
          </rPr>
          <t>Does not include stock-based compensation expense.</t>
        </r>
      </text>
    </comment>
    <comment ref="S54" authorId="0">
      <text>
        <r>
          <rPr>
            <sz val="8"/>
            <rFont val="Tahoma"/>
            <family val="2"/>
          </rPr>
          <t>Assume synergies are not realized until Year 2.</t>
        </r>
      </text>
    </comment>
    <comment ref="S56" authorId="0">
      <text>
        <r>
          <rPr>
            <sz val="8"/>
            <rFont val="Tahoma"/>
            <family val="2"/>
          </rPr>
          <t>Assume synergies are not realized until Year 2.</t>
        </r>
      </text>
    </comment>
    <comment ref="AK48" authorId="0">
      <text>
        <r>
          <rPr>
            <sz val="8"/>
            <color indexed="8"/>
            <rFont val="Tahoma"/>
            <family val="0"/>
          </rPr>
          <t>Source:  10-Q dated 3/31/2008.</t>
        </r>
      </text>
    </comment>
    <comment ref="AM48" authorId="0">
      <text>
        <r>
          <rPr>
            <sz val="8"/>
            <color indexed="8"/>
            <rFont val="Tahoma"/>
            <family val="0"/>
          </rPr>
          <t>Source:  10-Q dated 3/31/2008.</t>
        </r>
      </text>
    </comment>
    <comment ref="B72" authorId="0">
      <text>
        <r>
          <rPr>
            <sz val="8"/>
            <color indexed="8"/>
            <rFont val="Tahoma"/>
            <family val="0"/>
          </rPr>
          <t>This DTA does not include NOLs.  Any NOLs are reflected in the long-term DTA below.</t>
        </r>
      </text>
    </comment>
    <comment ref="B96" authorId="0">
      <text>
        <r>
          <rPr>
            <sz val="8"/>
            <color indexed="8"/>
            <rFont val="Tahoma"/>
            <family val="0"/>
          </rPr>
          <t>Any DTAs related to NOLs are included here as a negative DTL.</t>
        </r>
      </text>
    </comment>
    <comment ref="AQ30" authorId="0">
      <text>
        <r>
          <rPr>
            <sz val="8"/>
            <color indexed="8"/>
            <rFont val="Tahoma"/>
            <family val="0"/>
          </rPr>
          <t>Includes current portion of long-term debt.</t>
        </r>
      </text>
    </comment>
    <comment ref="Q38" authorId="0">
      <text>
        <r>
          <rPr>
            <sz val="8"/>
            <color indexed="8"/>
            <rFont val="Tahoma"/>
            <family val="0"/>
          </rPr>
          <t>This is the size of the revolving credit facility to which the bank has committed.</t>
        </r>
      </text>
    </comment>
    <comment ref="B112" authorId="0">
      <text>
        <r>
          <rPr>
            <sz val="8"/>
            <color indexed="8"/>
            <rFont val="Tahoma"/>
            <family val="0"/>
          </rPr>
          <t>Under the new FAS 141r accounting rules, effective 12/15/2008, non-controlling interest now resides in the shareholders' equity section of the balance sheet.</t>
        </r>
      </text>
    </comment>
    <comment ref="K151" authorId="0">
      <text>
        <r>
          <rPr>
            <sz val="8"/>
            <color indexed="8"/>
            <rFont val="Tahoma"/>
            <family val="0"/>
          </rPr>
          <t>This is the year in which the debt (or majority of the debt) must be repaid.</t>
        </r>
      </text>
    </comment>
    <comment ref="M151" authorId="0">
      <text>
        <r>
          <rPr>
            <sz val="8"/>
            <color indexed="8"/>
            <rFont val="Tahoma"/>
            <family val="0"/>
          </rPr>
          <t>With some forms of junior debt and preferred stock, interest and dividend payments may be made "in-kind", meaning that rather than paying interest or dividends with cash, TargetCo may instead pay with additional amounts of debt or preferred stock, as applicable, that increase the face value of these securities.  Payment-in-kind ("PIK") is often structured so that TargetCo has the option to pay either cash or in-kind for the first few years, after which all interest payments and dividends must be paid in cash.  TargetCo will often elect to pay in-kind whenever possible to conserve cash.  Whether such payments are made in-kind or in cash, the interest expense or dividend payments appear in full on the income statement.  Any amounts paid in-kind are added back to net income on the cash flow statement since no cash was actually paid.  We assume here that any years PIK are measured from the date the deal closes.</t>
        </r>
      </text>
    </comment>
    <comment ref="G151" authorId="0">
      <text>
        <r>
          <rPr>
            <sz val="8"/>
            <rFont val="Tahoma"/>
            <family val="2"/>
          </rPr>
          <t>Percent amortization per year</t>
        </r>
      </text>
    </comment>
    <comment ref="I348" authorId="0">
      <text>
        <r>
          <rPr>
            <sz val="8"/>
            <color indexed="8"/>
            <rFont val="Tahoma"/>
            <family val="0"/>
          </rPr>
          <t>Since the revolver does not amortize, use the period over which the bank has committed the funds.</t>
        </r>
      </text>
    </comment>
    <comment ref="AI17" authorId="0">
      <text>
        <r>
          <rPr>
            <sz val="8"/>
            <color indexed="8"/>
            <rFont val="Tahoma"/>
            <family val="0"/>
          </rPr>
          <t>Under FAS 141r, effective 12/15/2008, expensed transaction and advisory fees are no longer included in the purchase price calculation.</t>
        </r>
      </text>
    </comment>
    <comment ref="AG25" authorId="0">
      <text>
        <r>
          <rPr>
            <sz val="8"/>
            <rFont val="Tahoma"/>
            <family val="2"/>
          </rPr>
          <t>Assumes that the pre-transaction recorded values of PP&amp;E and intangibles are the same for book and tax since DTL = (FMV - tax basis) * tax rate.</t>
        </r>
      </text>
    </comment>
    <comment ref="M228" authorId="0">
      <text>
        <r>
          <rPr>
            <sz val="8"/>
            <color indexed="8"/>
            <rFont val="Tahoma"/>
            <family val="0"/>
          </rPr>
          <t>Section 197 intangibles are always amortized over 15 years for tax purposes in an asset acquisition.  Section 197 intangibles include goodwill.</t>
        </r>
      </text>
    </comment>
    <comment ref="K234" authorId="0">
      <text>
        <r>
          <rPr>
            <sz val="8"/>
            <color indexed="8"/>
            <rFont val="Tahoma"/>
            <family val="0"/>
          </rPr>
          <t>Goodwill is not amortized for book purposes but, rather, tested for impairment.</t>
        </r>
      </text>
    </comment>
    <comment ref="M238" authorId="0">
      <text>
        <r>
          <rPr>
            <sz val="8"/>
            <color indexed="8"/>
            <rFont val="Tahoma"/>
            <family val="0"/>
          </rPr>
          <t>PP&amp;E is often depreciated fasster for tax purposes than for book purposes using MACRS because the PV of the tax savings is greater.</t>
        </r>
      </text>
    </comment>
    <comment ref="K89" authorId="0">
      <text>
        <r>
          <rPr>
            <sz val="8"/>
            <rFont val="Tahoma"/>
            <family val="2"/>
          </rPr>
          <t>If existing debt is refinanced, short-term debt goes to zero.  If not, short-term debt is rolled into long-term debt for simplicity.  Therefore, we eliminate short-term debt regardless of whether or not the existing debt is refinanced.</t>
        </r>
      </text>
    </comment>
    <comment ref="K101" authorId="0">
      <text>
        <r>
          <rPr>
            <sz val="8"/>
            <rFont val="Tahoma"/>
            <family val="2"/>
          </rPr>
          <t>Combine short-term debt and long-term debt if not refinanced to simplify the model.  We will ignore the current portion of long-term debt going forward.</t>
        </r>
      </text>
    </comment>
    <comment ref="M120" authorId="0">
      <text>
        <r>
          <rPr>
            <sz val="8"/>
            <rFont val="Tahoma"/>
            <family val="2"/>
          </rPr>
          <t>Under the old FAS 141 accounting rules, this amount would have been included in the purchase price calculation and increased goodwill, rather than expensed immiediately as shown here.</t>
        </r>
      </text>
    </comment>
    <comment ref="G190" authorId="0">
      <text>
        <r>
          <rPr>
            <sz val="8"/>
            <color indexed="8"/>
            <rFont val="Tahoma"/>
            <family val="0"/>
          </rPr>
          <t>Gross</t>
        </r>
      </text>
    </comment>
    <comment ref="I190" authorId="0">
      <text>
        <r>
          <rPr>
            <sz val="8"/>
            <color indexed="8"/>
            <rFont val="Tahoma"/>
            <family val="0"/>
          </rPr>
          <t>Average remaining useful life in years for all assets in each class.</t>
        </r>
      </text>
    </comment>
  </commentList>
</comments>
</file>

<file path=xl/sharedStrings.xml><?xml version="1.0" encoding="utf-8"?>
<sst xmlns="http://schemas.openxmlformats.org/spreadsheetml/2006/main" count="454" uniqueCount="335">
  <si>
    <t>($ in millions, except per share data)</t>
  </si>
  <si>
    <t>Valuation Summary</t>
  </si>
  <si>
    <t>Current Target Stock Price</t>
  </si>
  <si>
    <t>Offer Premium</t>
  </si>
  <si>
    <t>Offer Price Per Target Share</t>
  </si>
  <si>
    <t>Calendarization / Timing</t>
  </si>
  <si>
    <t>Last Fiscal Year End</t>
  </si>
  <si>
    <t>LTM End Date</t>
  </si>
  <si>
    <t>Current Date</t>
  </si>
  <si>
    <t>Expected Closing Date</t>
  </si>
  <si>
    <t>Months from Last FYE to LTM End</t>
  </si>
  <si>
    <t>Months from Closing to Next FYE</t>
  </si>
  <si>
    <t>Stub Allocation</t>
  </si>
  <si>
    <t>Model Detail</t>
  </si>
  <si>
    <t>Target Code Name</t>
  </si>
  <si>
    <t>TargetCo</t>
  </si>
  <si>
    <t>Model Created / Modified by:</t>
  </si>
  <si>
    <t>Last Modified:</t>
  </si>
  <si>
    <t>File Name:</t>
  </si>
  <si>
    <t>Chris P. Chicken</t>
  </si>
  <si>
    <t>212-555-1212</t>
  </si>
  <si>
    <t>CAGR</t>
  </si>
  <si>
    <t>Total Revenue</t>
  </si>
  <si>
    <t>% Growth</t>
  </si>
  <si>
    <t>NA</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</si>
  <si>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</si>
  <si>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</si>
  <si>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</si>
  <si>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</si>
  <si>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</si>
  <si>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</si>
  <si>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</si>
  <si>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</si>
  <si>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</si>
  <si>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</si>
  <si>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</si>
  <si>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</si>
  <si>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</si>
  <si>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</si>
  <si>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</si>
  <si>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</si>
  <si>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</si>
  <si>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</si>
  <si>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</si>
  <si>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</si>
  <si>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</si>
  <si>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</si>
  <si>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</si>
  <si>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</si>
  <si>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</si>
  <si>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</si>
  <si>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</si>
  <si>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Operating Assumptions</t>
  </si>
  <si>
    <t>Revenue Growth</t>
  </si>
  <si>
    <t>Management Case</t>
  </si>
  <si>
    <t>Analyst Case</t>
  </si>
  <si>
    <t>Downside Case</t>
  </si>
  <si>
    <t>COGS (% of Sales)</t>
  </si>
  <si>
    <t>SG&amp;A (% of Sales)</t>
  </si>
  <si>
    <t>Other (% of Sales)</t>
  </si>
  <si>
    <t>Operating Performance Drivers</t>
  </si>
  <si>
    <t>COGS Savings</t>
  </si>
  <si>
    <t>SG&amp;A Savings</t>
  </si>
  <si>
    <t>Total Savings</t>
  </si>
  <si>
    <t>Income Statement</t>
  </si>
  <si>
    <t>Net Sales</t>
  </si>
  <si>
    <t>Other</t>
  </si>
  <si>
    <t>LTM Inputs</t>
  </si>
  <si>
    <t>Ended</t>
  </si>
  <si>
    <t>LTM</t>
  </si>
  <si>
    <t>Balance Sheet</t>
  </si>
  <si>
    <t>Historical</t>
  </si>
  <si>
    <t>Adjustments</t>
  </si>
  <si>
    <t>Pro Forma</t>
  </si>
  <si>
    <t>GAAP/</t>
  </si>
  <si>
    <t>Closing</t>
  </si>
  <si>
    <t>Financing</t>
  </si>
  <si>
    <t>Assets</t>
  </si>
  <si>
    <t>Cash &amp; Equivalents</t>
  </si>
  <si>
    <t>Accounts Receivable</t>
  </si>
  <si>
    <t>Inventories</t>
  </si>
  <si>
    <t>Deferred Income Taxes</t>
  </si>
  <si>
    <t>Prepaid Expenses &amp; Other</t>
  </si>
  <si>
    <t>Total Current Assets</t>
  </si>
  <si>
    <t>PP&amp;E, gross</t>
  </si>
  <si>
    <t>(Accumluated Depreciation)</t>
  </si>
  <si>
    <t>PP&amp;E, net</t>
  </si>
  <si>
    <t>Equity Investments</t>
  </si>
  <si>
    <t>Capitalized Financing Costs</t>
  </si>
  <si>
    <t>Goodwill, net</t>
  </si>
  <si>
    <t>Intangible Assets, net</t>
  </si>
  <si>
    <t>Operating Rights, net</t>
  </si>
  <si>
    <t>Other Long-Term Assets</t>
  </si>
  <si>
    <t>Total Assets</t>
  </si>
  <si>
    <t>Liabilities</t>
  </si>
  <si>
    <t>Short-Term Debt</t>
  </si>
  <si>
    <t>Accounts Payable</t>
  </si>
  <si>
    <t>Accrued Liabilities</t>
  </si>
  <si>
    <t>Client Deposits</t>
  </si>
  <si>
    <t>Other Current Liabilities</t>
  </si>
  <si>
    <t>Total Current Liabilities</t>
  </si>
  <si>
    <t>Capital Leases</t>
  </si>
  <si>
    <t>Other Long-Term Liabilities</t>
  </si>
  <si>
    <t>Existing LT Debt (excl. current portion)</t>
  </si>
  <si>
    <t>Total Liabilities</t>
  </si>
  <si>
    <t>Shareholders' Equity</t>
  </si>
  <si>
    <t>Existing Shareholders' Equity</t>
  </si>
  <si>
    <t>Additional Paid-In Capital</t>
  </si>
  <si>
    <t>Retained Earnings</t>
  </si>
  <si>
    <t>Total Shareholders' Equity</t>
  </si>
  <si>
    <t>Liabilities &amp; S/H Equity</t>
  </si>
  <si>
    <t>Check</t>
  </si>
  <si>
    <t>Options</t>
  </si>
  <si>
    <t>Number of</t>
  </si>
  <si>
    <t>Average</t>
  </si>
  <si>
    <t>Treasury</t>
  </si>
  <si>
    <t>Options (m)</t>
  </si>
  <si>
    <t>Strike</t>
  </si>
  <si>
    <t>Shares</t>
  </si>
  <si>
    <t>Tranche 1</t>
  </si>
  <si>
    <t>Tranche 2</t>
  </si>
  <si>
    <t>Tranche 3</t>
  </si>
  <si>
    <t>Tranche 4</t>
  </si>
  <si>
    <t>Tranche 5</t>
  </si>
  <si>
    <t>Tranche 6</t>
  </si>
  <si>
    <t>Tranche 7</t>
  </si>
  <si>
    <t>Tranche 8</t>
  </si>
  <si>
    <t>Tranche 9</t>
  </si>
  <si>
    <t>Tranche 10</t>
  </si>
  <si>
    <t>Convertible Debt</t>
  </si>
  <si>
    <t>Convert 1</t>
  </si>
  <si>
    <t>Convert 2</t>
  </si>
  <si>
    <t>Face Value</t>
  </si>
  <si>
    <t>Conversion Price</t>
  </si>
  <si>
    <t>Convertible Shares</t>
  </si>
  <si>
    <t>Interest Rate</t>
  </si>
  <si>
    <t>Fully Diluted Shares Outstanding</t>
  </si>
  <si>
    <t>Basic Shares Outstanding</t>
  </si>
  <si>
    <t>Treasury Method Shares</t>
  </si>
  <si>
    <t>In-the-Money Convertible Shares</t>
  </si>
  <si>
    <t>Net Debt</t>
  </si>
  <si>
    <t>Non-Convertible Debt</t>
  </si>
  <si>
    <t>Cash &amp; Cash Equivalents</t>
  </si>
  <si>
    <t>Fully Diluted Shares Outstanding (mm)</t>
  </si>
  <si>
    <t>Equity Purchase Price</t>
  </si>
  <si>
    <t>Target Pro Forma Net Debt</t>
  </si>
  <si>
    <t>Pro Forma Enterprise Value</t>
  </si>
  <si>
    <t>Pro Forma Enterprise Value Multiples</t>
  </si>
  <si>
    <t>Metric</t>
  </si>
  <si>
    <t>Multiple</t>
  </si>
  <si>
    <t>LTM Sales</t>
  </si>
  <si>
    <t>LTM EBITDA</t>
  </si>
  <si>
    <t>Current Interest Rates</t>
  </si>
  <si>
    <t>3-Month LIBOR</t>
  </si>
  <si>
    <t>10-Year Treasury</t>
  </si>
  <si>
    <t>Interest on Excess Cash</t>
  </si>
  <si>
    <t>Refinance Target Debt</t>
  </si>
  <si>
    <t>Refinance?</t>
  </si>
  <si>
    <t>Minimum Cash / Revolver</t>
  </si>
  <si>
    <t>Minimum Cash Balance</t>
  </si>
  <si>
    <t>Total Bank Commitment</t>
  </si>
  <si>
    <t>Scenario</t>
  </si>
  <si>
    <t>Financing Case</t>
  </si>
  <si>
    <t>Transaction Fees &amp; Expenses Assumptions</t>
  </si>
  <si>
    <t>Fees (%)</t>
  </si>
  <si>
    <t>Computation Metric</t>
  </si>
  <si>
    <t>Fees ($)</t>
  </si>
  <si>
    <t>Notes / Assumptions</t>
  </si>
  <si>
    <t>M&amp;A / Sponsor Fees</t>
  </si>
  <si>
    <t>Bank Fee</t>
  </si>
  <si>
    <t>Expensed as incurred (in current period) in accordance with FAS 141r</t>
  </si>
  <si>
    <t>Sponsor Fee</t>
  </si>
  <si>
    <t>Financing Fees</t>
  </si>
  <si>
    <t>of Total Facility Size (Commitment):</t>
  </si>
  <si>
    <t>Capitalized / amortized over life of financing</t>
  </si>
  <si>
    <t>of Total Principal Amount:</t>
  </si>
  <si>
    <t>Reduction in Gross Proceeds.  Reduction in APIC.</t>
  </si>
  <si>
    <t>Other Miscellaneous Fees</t>
  </si>
  <si>
    <t>Legal</t>
  </si>
  <si>
    <t>Accounting</t>
  </si>
  <si>
    <t>Printing</t>
  </si>
  <si>
    <t>Target's Expenses</t>
  </si>
  <si>
    <t>Revolver</t>
  </si>
  <si>
    <t>Term Loan - A</t>
  </si>
  <si>
    <t>Term Loan - B</t>
  </si>
  <si>
    <t>Senior Note</t>
  </si>
  <si>
    <t>Subordinated Note</t>
  </si>
  <si>
    <t>Mezzanine</t>
  </si>
  <si>
    <t>Seller Note</t>
  </si>
  <si>
    <t>Preferred Stock - A</t>
  </si>
  <si>
    <t>Preferred Stock - B</t>
  </si>
  <si>
    <t>of Transaction Value (excl. Fees &amp; Expenses):</t>
  </si>
  <si>
    <t>Capital Structure Assumptions</t>
  </si>
  <si>
    <t>Active</t>
  </si>
  <si>
    <t>Financing Scenarios</t>
  </si>
  <si>
    <t>Case</t>
  </si>
  <si>
    <t>Description</t>
  </si>
  <si>
    <t>No deal</t>
  </si>
  <si>
    <t>Refi A</t>
  </si>
  <si>
    <t>Refi B</t>
  </si>
  <si>
    <t>LBO A</t>
  </si>
  <si>
    <t>LBO B</t>
  </si>
  <si>
    <t>LBO C</t>
  </si>
  <si>
    <t>Mult. of</t>
  </si>
  <si>
    <t>Sources of Funds</t>
  </si>
  <si>
    <t>Total Sources</t>
  </si>
  <si>
    <t>Excess Cash</t>
  </si>
  <si>
    <t>Debt Assumed</t>
  </si>
  <si>
    <t>Common - Sponsor</t>
  </si>
  <si>
    <t>Management Rollover</t>
  </si>
  <si>
    <t>Investor Rollover</t>
  </si>
  <si>
    <t>Uses of Funds</t>
  </si>
  <si>
    <t>Refinance Debt</t>
  </si>
  <si>
    <t>Tender / Call Premium</t>
  </si>
  <si>
    <t>Expensed Transaction Costs</t>
  </si>
  <si>
    <t>Total Uses</t>
  </si>
  <si>
    <t>LBO?</t>
  </si>
  <si>
    <t>Existing Shareholders</t>
  </si>
  <si>
    <t>Fund Cash Balance</t>
  </si>
  <si>
    <t>Assume Debt</t>
  </si>
  <si>
    <t>Noncontrolling (Minority) Interest</t>
  </si>
  <si>
    <t>Assume Noncontrolling Interest</t>
  </si>
  <si>
    <t>Purchase Noncontrolling Interest</t>
  </si>
  <si>
    <t>Noncontrolling Interest Assumed</t>
  </si>
  <si>
    <t>Sources &amp; Uses of Funds</t>
  </si>
  <si>
    <t>% of</t>
  </si>
  <si>
    <t>Interest</t>
  </si>
  <si>
    <t>$ mm</t>
  </si>
  <si>
    <t>Total</t>
  </si>
  <si>
    <t>Rate</t>
  </si>
  <si>
    <t>Spread</t>
  </si>
  <si>
    <t>Years</t>
  </si>
  <si>
    <t>PIK</t>
  </si>
  <si>
    <t>Debt</t>
  </si>
  <si>
    <t>Preferred</t>
  </si>
  <si>
    <t>Equity</t>
  </si>
  <si>
    <t>Other Uses</t>
  </si>
  <si>
    <t>Fees &amp; Expenses</t>
  </si>
  <si>
    <t>Assume Noncontrolling Int.</t>
  </si>
  <si>
    <t>Purchase Noncontrolling Int.</t>
  </si>
  <si>
    <t>Ending</t>
  </si>
  <si>
    <t>Debt Schedule</t>
  </si>
  <si>
    <t>LIBOR Curve</t>
  </si>
  <si>
    <t>Interest Rate Assumptions</t>
  </si>
  <si>
    <t>Assumed Debt</t>
  </si>
  <si>
    <t>Revolver Undrawn Commitment Fee</t>
  </si>
  <si>
    <t>LIBOR +</t>
  </si>
  <si>
    <t>Average Interest?</t>
  </si>
  <si>
    <t>Debt Amortization Schedule</t>
  </si>
  <si>
    <t>Beginning</t>
  </si>
  <si>
    <t>Scheduled</t>
  </si>
  <si>
    <t>Balance</t>
  </si>
  <si>
    <t>Amort.</t>
  </si>
  <si>
    <t>Prepay?</t>
  </si>
  <si>
    <t>Bullet Year</t>
  </si>
  <si>
    <t>Years PIK</t>
  </si>
  <si>
    <t>Annual</t>
  </si>
  <si>
    <t>Period</t>
  </si>
  <si>
    <t>Expense</t>
  </si>
  <si>
    <t>Amortization of Capitalized Financing Costs</t>
  </si>
  <si>
    <t>Total Annual Amortization</t>
  </si>
  <si>
    <t>Purchase Price Allocation / Goodwill</t>
  </si>
  <si>
    <t>% of Excess PP Allocated to Intangibles</t>
  </si>
  <si>
    <t>Intangibles Amortization Period (yrs)</t>
  </si>
  <si>
    <t>Fixed Asset Write-Up</t>
  </si>
  <si>
    <t>Fixed Asset Depreciation Period (yrs)</t>
  </si>
  <si>
    <t>Tax Rate</t>
  </si>
  <si>
    <t>Deal Structure (0=Stock Deal, 1=Asset Deal)</t>
  </si>
  <si>
    <t>Recap Accounting?</t>
  </si>
  <si>
    <t>Transaction Fees</t>
  </si>
  <si>
    <t>Book Value of Net Assets</t>
  </si>
  <si>
    <t>Excess Purchase Price to Allocate</t>
  </si>
  <si>
    <t>Net Asset Step-Ups:</t>
  </si>
  <si>
    <t>Indentifiable Intangibles Write-Up</t>
  </si>
  <si>
    <t>Write Off Target's Existing Goodwill</t>
  </si>
  <si>
    <t>Write Off Target's Existing DTL</t>
  </si>
  <si>
    <t>DTL from Asset Write-Ups</t>
  </si>
  <si>
    <t>Goodwill Created</t>
  </si>
  <si>
    <t>Tax Schedule</t>
  </si>
  <si>
    <t>Income Tax Rate</t>
  </si>
  <si>
    <t>Book</t>
  </si>
  <si>
    <t>Book Taxable Income</t>
  </si>
  <si>
    <t>+</t>
  </si>
  <si>
    <t>=</t>
  </si>
  <si>
    <t>Income Tax Expense</t>
  </si>
  <si>
    <t>Tax</t>
  </si>
  <si>
    <t>+ Book Amortization of Intangibles</t>
  </si>
  <si>
    <t>+ Book Amortization of Goodwill</t>
  </si>
  <si>
    <t>+ Book Depreciation</t>
  </si>
  <si>
    <t>+ Book (Gain) / Loss on Sale of Assets</t>
  </si>
  <si>
    <t>+ Non-Deductible Expenses</t>
  </si>
  <si>
    <t>- Tax Amortization of Intangibles</t>
  </si>
  <si>
    <t>- Tax Amortization of Goodwill</t>
  </si>
  <si>
    <t>- Tax Depreciation</t>
  </si>
  <si>
    <t>- Tax (Gain) / Loss on Sale of Assets</t>
  </si>
  <si>
    <t>= Pre-NOL Taxable Income</t>
  </si>
  <si>
    <t>Intangibles Amortization</t>
  </si>
  <si>
    <t xml:space="preserve">Book </t>
  </si>
  <si>
    <t xml:space="preserve">Tax </t>
  </si>
  <si>
    <t>Period (yrs)</t>
  </si>
  <si>
    <t>Goodwill Amortization</t>
  </si>
  <si>
    <t>Fixed Asset Depreciation</t>
  </si>
  <si>
    <t>Working Capital Assumptions</t>
  </si>
  <si>
    <t>Sales</t>
  </si>
  <si>
    <t>Non-Cash Current Asset Projections</t>
  </si>
  <si>
    <t>Non-Debt Current Liabilities Projections</t>
  </si>
  <si>
    <t>Net Working Capital</t>
  </si>
  <si>
    <t>Change in Net Working Capital</t>
  </si>
  <si>
    <t>Assumptions</t>
  </si>
  <si>
    <t>Method</t>
  </si>
  <si>
    <t>% of COGS</t>
  </si>
  <si>
    <t>Book Depreciation Schedule</t>
  </si>
  <si>
    <t>Existing Fixed Assets</t>
  </si>
  <si>
    <t>Remain.</t>
  </si>
  <si>
    <t>Salvage</t>
  </si>
  <si>
    <t>Classification</t>
  </si>
  <si>
    <t>Amount</t>
  </si>
  <si>
    <t>Life</t>
  </si>
  <si>
    <t>Value</t>
  </si>
  <si>
    <t>PP&amp;E</t>
  </si>
  <si>
    <t>Class 2</t>
  </si>
  <si>
    <t>Class 3</t>
  </si>
  <si>
    <t>Class 4</t>
  </si>
  <si>
    <t>Depreciation of Existing Fixed Assets</t>
  </si>
  <si>
    <t>Subtotal</t>
  </si>
  <si>
    <t>Capital Expenditures</t>
  </si>
  <si>
    <t>Useful</t>
  </si>
  <si>
    <t>Year</t>
  </si>
  <si>
    <t>CapEx</t>
  </si>
  <si>
    <t>Depreciation of Capital Expenditures</t>
  </si>
  <si>
    <t>Total Computed Depreciation Expense</t>
  </si>
  <si>
    <t>Analyst-Projected (Manual) Depreciation Expense</t>
  </si>
  <si>
    <t>Book Depreciation Expense</t>
  </si>
  <si>
    <t xml:space="preserve"> Manual or Computed</t>
  </si>
  <si>
    <t>0=Manual, 1=Computed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</si>
</sst>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0.0%_);@_)"/>
    <numFmt numFmtId="165" formatCode="0000\P"/>
    <numFmt numFmtId="166" formatCode="0.00%_);\(0.00%\);0.00%_);@_)"/>
    <numFmt numFmtId="167" formatCode="&quot;$&quot;#,##0.00_);\(&quot;$&quot;#,##0.00\);&quot;$&quot;#,##0.00_);@_)"/>
    <numFmt numFmtId="168" formatCode="&quot;$&quot;#,##0.0_);\(&quot;$&quot;#,##0.0\);&quot;$&quot;#,##0.0_);@_)"/>
    <numFmt numFmtId="169" formatCode="0.00\x_);\(0.00\x\);0.00\x_);@_)"/>
    <numFmt numFmtId="170" formatCode="#,##0.0_);\(#,##0.0\);#,##0.0_);@_)"/>
    <numFmt numFmtId="171" formatCode="#,##0.000_);\(#,##0.000\)"/>
    <numFmt numFmtId="172" formatCode="0.0%"/>
    <numFmt numFmtId="173" formatCode="&quot;L + &quot;0_)"/>
    <numFmt numFmtId="174" formatCode="#,##0.0_);\(#,##0.0\)"/>
    <numFmt numFmtId="175" formatCode="0.0\x_);\(0.0\x\);0.0\x_);@_)"/>
    <numFmt numFmtId="176" formatCode="&quot;yes&quot;;&quot;ERROR&quot;;&quot;no&quot;;&quot;ERROR&quot;"/>
    <numFmt numFmtId="177" formatCode="&quot;$&quot;#,##0.0_);\(&quot;$&quot;#,##0.0\)"/>
    <numFmt numFmtId="178" formatCode="&quot;Year &quot;0"/>
    <numFmt numFmtId="179" formatCode="#,##0.000_);\(#,##0.000\);#,##0.000_);@_)"/>
    <numFmt numFmtId="180" formatCode="#,##0.00_);\(#,##0.00\);#,##0.00_);@_)"/>
    <numFmt numFmtId="181" formatCode="0000\A"/>
    <numFmt numFmtId="182" formatCode="0000&quot;E&quot;"/>
    <numFmt numFmtId="183" formatCode="#,##0.0"/>
    <numFmt numFmtId="184" formatCode="#,##0.000000000000000"/>
    <numFmt numFmtId="185" formatCode="m/d/yyyy;@"/>
    <numFmt numFmtId="186" formatCode="&quot;Case &quot;0"/>
    <numFmt numFmtId="187" formatCode="0.000"/>
    <numFmt numFmtId="188" formatCode="0_*&quot;months&quot;"/>
    <numFmt numFmtId="189" formatCode="0_);\(0\)"/>
  </numFmts>
  <fonts count="28">
    <font>
      <sz val="10"/>
      <name val="Arial"/>
      <family val="0"/>
    </font>
    <font>
      <sz val="18"/>
      <color indexed="8"/>
      <name val="Arial"/>
      <family val="2"/>
    </font>
    <font>
      <i/>
      <sz val="9"/>
      <name val="Arial"/>
      <family val="2"/>
    </font>
    <font>
      <b/>
      <sz val="10"/>
      <color indexed="9"/>
      <name val="Arial"/>
      <family val="2"/>
    </font>
    <font>
      <b/>
      <sz val="10"/>
      <name val="Arial"/>
      <family val="2"/>
    </font>
    <font>
      <sz val="10"/>
      <color indexed="12"/>
      <name val="Arial"/>
      <family val="0"/>
    </font>
    <font>
      <i/>
      <sz val="10"/>
      <name val="Arial"/>
      <family val="2"/>
    </font>
    <font>
      <i/>
      <sz val="10"/>
      <color indexed="12"/>
      <name val="Arial"/>
      <family val="2"/>
    </font>
    <font>
      <u val="single"/>
      <sz val="8"/>
      <color indexed="12"/>
      <name val="Arial"/>
      <family val="0"/>
    </font>
    <font>
      <sz val="10"/>
      <name val="MS Sans Serif"/>
      <family val="0"/>
    </font>
    <font>
      <sz val="8"/>
      <color indexed="8"/>
      <name val="Tahoma"/>
      <family val="0"/>
    </font>
    <font>
      <sz val="8"/>
      <name val="Arial"/>
      <family val="0"/>
    </font>
    <font>
      <i/>
      <sz val="16"/>
      <color indexed="8"/>
      <name val="Arial"/>
      <family val="2"/>
    </font>
    <font>
      <b/>
      <sz val="10"/>
      <color indexed="12"/>
      <name val="Arial"/>
      <family val="2"/>
    </font>
    <font>
      <b/>
      <sz val="10"/>
      <color indexed="8"/>
      <name val="Arial"/>
      <family val="2"/>
    </font>
    <font>
      <i/>
      <sz val="10"/>
      <color indexed="8"/>
      <name val="Arial"/>
      <family val="2"/>
    </font>
    <font>
      <i/>
      <sz val="8"/>
      <name val="Arial"/>
      <family val="2"/>
    </font>
    <font>
      <sz val="10"/>
      <color indexed="8"/>
      <name val="Arial"/>
      <family val="0"/>
    </font>
    <font>
      <sz val="10"/>
      <color indexed="10"/>
      <name val="Arial"/>
      <family val="0"/>
    </font>
    <font>
      <b/>
      <u val="single"/>
      <sz val="10"/>
      <name val="Arial"/>
      <family val="2"/>
    </font>
    <font>
      <i/>
      <sz val="10"/>
      <color indexed="17"/>
      <name val="Arial"/>
      <family val="2"/>
    </font>
    <font>
      <b/>
      <sz val="10"/>
      <color indexed="17"/>
      <name val="Arial"/>
      <family val="2"/>
    </font>
    <font>
      <b/>
      <i/>
      <sz val="10"/>
      <name val="Arial"/>
      <family val="2"/>
    </font>
    <font>
      <sz val="8"/>
      <name val="Tahoma"/>
      <family val="2"/>
    </font>
    <font>
      <sz val="10"/>
      <color indexed="17"/>
      <name val="Arial"/>
      <family val="0"/>
    </font>
    <font>
      <sz val="10"/>
      <color indexed="9"/>
      <name val="Arial"/>
      <family val="2"/>
    </font>
    <font>
      <b/>
      <i/>
      <sz val="10"/>
      <color indexed="8"/>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2"/>
      </top>
      <bottom style="double">
        <color indexed="22"/>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1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0" fillId="0" borderId="0" xfId="0" applyNumberFormat="1" applyFont="1" applyFill="1" applyBorder="1" applyAlignment="1" applyProtection="1">
      <alignment/>
      <protection/>
    </xf>
    <xf numFmtId="0" fontId="0" fillId="0" borderId="0" xfId="0" applyBorder="1" applyAlignment="1">
      <alignment/>
    </xf>
    <xf numFmtId="167" fontId="5" fillId="0" borderId="0" xfId="0" applyNumberFormat="1" applyFont="1" applyAlignment="1">
      <alignment/>
    </xf>
    <xf numFmtId="0" fontId="0" fillId="0" borderId="0" xfId="0" applyFill="1" applyBorder="1" applyAlignment="1">
      <alignment/>
    </xf>
    <xf numFmtId="164" fontId="7" fillId="0" borderId="0" xfId="0" applyNumberFormat="1" applyFont="1" applyBorder="1" applyAlignment="1">
      <alignment/>
    </xf>
    <xf numFmtId="0" fontId="4" fillId="0" borderId="0" xfId="0" applyFont="1" applyAlignment="1">
      <alignment/>
    </xf>
    <xf numFmtId="167" fontId="0" fillId="0" borderId="0" xfId="0" applyNumberFormat="1" applyFont="1" applyAlignment="1">
      <alignment/>
    </xf>
    <xf numFmtId="164" fontId="6" fillId="0" borderId="0" xfId="0" applyNumberFormat="1" applyFont="1" applyBorder="1" applyAlignment="1">
      <alignment/>
    </xf>
    <xf numFmtId="14" fontId="5" fillId="0" borderId="0" xfId="0" applyNumberFormat="1" applyFont="1" applyAlignment="1">
      <alignment/>
    </xf>
    <xf numFmtId="37" fontId="0" fillId="0" borderId="0" xfId="0" applyNumberFormat="1" applyFont="1" applyAlignment="1">
      <alignment/>
    </xf>
    <xf numFmtId="0" fontId="5" fillId="0" borderId="0" xfId="0" applyFont="1" applyAlignment="1">
      <alignment horizontal="right"/>
    </xf>
    <xf numFmtId="14" fontId="0" fillId="0" borderId="0" xfId="0" applyNumberFormat="1" applyFont="1" applyAlignment="1">
      <alignment/>
    </xf>
    <xf numFmtId="18" fontId="0" fillId="0" borderId="0" xfId="20" applyNumberFormat="1" applyFont="1" applyAlignment="1">
      <alignment horizontal="right"/>
      <protection/>
    </xf>
    <xf numFmtId="0" fontId="12" fillId="0" borderId="1" xfId="0" applyFont="1" applyBorder="1" applyAlignment="1">
      <alignment/>
    </xf>
    <xf numFmtId="0" fontId="6" fillId="0" borderId="0" xfId="0" applyFont="1" applyAlignment="1">
      <alignment/>
    </xf>
    <xf numFmtId="0" fontId="4" fillId="0" borderId="2" xfId="0" applyFont="1" applyBorder="1" applyAlignment="1">
      <alignment horizontal="centerContinuous"/>
    </xf>
    <xf numFmtId="0" fontId="0" fillId="0" borderId="2" xfId="0" applyBorder="1" applyAlignment="1">
      <alignment horizontal="centerContinuous"/>
    </xf>
    <xf numFmtId="0" fontId="4" fillId="0" borderId="0" xfId="0" applyFont="1" applyAlignment="1">
      <alignment horizontal="center"/>
    </xf>
    <xf numFmtId="181" fontId="4" fillId="0" borderId="2" xfId="0" applyNumberFormat="1" applyFont="1" applyBorder="1" applyAlignment="1">
      <alignment horizontal="center"/>
    </xf>
    <xf numFmtId="0" fontId="0" fillId="0" borderId="0" xfId="0" applyFont="1" applyAlignment="1">
      <alignment/>
    </xf>
    <xf numFmtId="181" fontId="13" fillId="0" borderId="2" xfId="0" applyNumberFormat="1" applyFont="1" applyBorder="1" applyAlignment="1">
      <alignment horizontal="center"/>
    </xf>
    <xf numFmtId="165" fontId="14" fillId="0" borderId="2" xfId="0" applyNumberFormat="1" applyFont="1" applyBorder="1" applyAlignment="1">
      <alignment horizontal="center"/>
    </xf>
    <xf numFmtId="165" fontId="14" fillId="0" borderId="0" xfId="0" applyNumberFormat="1" applyFont="1" applyBorder="1" applyAlignment="1">
      <alignment horizontal="center"/>
    </xf>
    <xf numFmtId="182" fontId="14" fillId="0" borderId="2" xfId="0" applyNumberFormat="1" applyFont="1" applyBorder="1" applyAlignment="1">
      <alignment horizontal="center"/>
    </xf>
    <xf numFmtId="14" fontId="4" fillId="0" borderId="2" xfId="0" applyNumberFormat="1" applyFont="1" applyBorder="1" applyAlignment="1">
      <alignment horizontal="center"/>
    </xf>
    <xf numFmtId="168" fontId="4" fillId="0" borderId="0" xfId="0" applyNumberFormat="1" applyFont="1" applyAlignment="1">
      <alignment/>
    </xf>
    <xf numFmtId="168" fontId="13" fillId="0" borderId="0" xfId="0" applyNumberFormat="1" applyFont="1" applyAlignment="1">
      <alignment/>
    </xf>
    <xf numFmtId="168" fontId="14" fillId="0" borderId="0" xfId="0" applyNumberFormat="1" applyFont="1" applyAlignment="1">
      <alignment/>
    </xf>
    <xf numFmtId="164" fontId="15" fillId="0" borderId="0" xfId="0" applyNumberFormat="1" applyFont="1" applyAlignment="1">
      <alignment/>
    </xf>
    <xf numFmtId="0" fontId="6" fillId="0" borderId="0" xfId="0" applyFont="1" applyAlignment="1">
      <alignment horizontal="right"/>
    </xf>
    <xf numFmtId="164" fontId="7" fillId="0" borderId="0" xfId="0" applyNumberFormat="1" applyFont="1" applyAlignment="1">
      <alignment/>
    </xf>
    <xf numFmtId="0" fontId="16" fillId="0" borderId="0" xfId="0" applyFont="1" applyAlignment="1">
      <alignment/>
    </xf>
    <xf numFmtId="170" fontId="0" fillId="0" borderId="0" xfId="0" applyNumberFormat="1" applyAlignment="1">
      <alignment/>
    </xf>
    <xf numFmtId="170" fontId="5" fillId="0" borderId="0" xfId="0" applyNumberFormat="1" applyFont="1" applyAlignment="1">
      <alignment/>
    </xf>
    <xf numFmtId="170" fontId="17" fillId="0" borderId="0" xfId="0" applyNumberFormat="1" applyFont="1" applyAlignment="1">
      <alignment/>
    </xf>
    <xf numFmtId="164" fontId="15" fillId="0" borderId="0" xfId="0" applyNumberFormat="1" applyFont="1" applyAlignment="1">
      <alignment horizontal="right"/>
    </xf>
    <xf numFmtId="164" fontId="7" fillId="0" borderId="0" xfId="0" applyNumberFormat="1" applyFont="1" applyAlignment="1">
      <alignment horizontal="right"/>
    </xf>
    <xf numFmtId="168" fontId="17" fillId="0" borderId="3" xfId="0" applyNumberFormat="1" applyFont="1" applyBorder="1" applyAlignment="1">
      <alignment/>
    </xf>
    <xf numFmtId="170" fontId="5" fillId="0" borderId="0"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4" fillId="0" borderId="0" xfId="0" applyFont="1" applyBorder="1" applyAlignment="1">
      <alignment/>
    </xf>
    <xf numFmtId="168" fontId="14" fillId="0" borderId="0" xfId="0" applyNumberFormat="1" applyFont="1" applyBorder="1" applyAlignment="1">
      <alignment/>
    </xf>
    <xf numFmtId="0" fontId="4" fillId="0" borderId="6" xfId="0" applyFont="1" applyBorder="1" applyAlignment="1">
      <alignment/>
    </xf>
    <xf numFmtId="0" fontId="6" fillId="0" borderId="0" xfId="0" applyFont="1" applyBorder="1" applyAlignment="1">
      <alignment/>
    </xf>
    <xf numFmtId="164" fontId="15" fillId="0" borderId="0" xfId="0" applyNumberFormat="1" applyFont="1" applyBorder="1" applyAlignment="1">
      <alignment horizontal="right"/>
    </xf>
    <xf numFmtId="0" fontId="6" fillId="0" borderId="6" xfId="0" applyFont="1" applyBorder="1" applyAlignment="1">
      <alignment/>
    </xf>
    <xf numFmtId="0" fontId="0" fillId="0" borderId="6" xfId="0" applyBorder="1" applyAlignment="1">
      <alignment/>
    </xf>
    <xf numFmtId="170" fontId="0" fillId="0" borderId="0" xfId="0" applyNumberFormat="1" applyBorder="1" applyAlignment="1">
      <alignment/>
    </xf>
    <xf numFmtId="170" fontId="5" fillId="0" borderId="0" xfId="0" applyNumberFormat="1" applyFont="1" applyBorder="1" applyAlignment="1">
      <alignment/>
    </xf>
    <xf numFmtId="170" fontId="17" fillId="0" borderId="0" xfId="0" applyNumberFormat="1" applyFont="1" applyBorder="1" applyAlignment="1">
      <alignment/>
    </xf>
    <xf numFmtId="170" fontId="0" fillId="0" borderId="6" xfId="0" applyNumberFormat="1" applyBorder="1" applyAlignment="1">
      <alignment/>
    </xf>
    <xf numFmtId="164" fontId="7" fillId="0" borderId="0"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0" xfId="0" applyNumberFormat="1" applyFont="1" applyFill="1" applyBorder="1" applyAlignment="1">
      <alignment/>
    </xf>
    <xf numFmtId="43" fontId="5" fillId="0" borderId="0" xfId="15" applyFont="1" applyAlignment="1">
      <alignment/>
    </xf>
    <xf numFmtId="43" fontId="17" fillId="0" borderId="0" xfId="15" applyFont="1" applyAlignment="1">
      <alignment/>
    </xf>
    <xf numFmtId="43" fontId="0" fillId="0" borderId="0" xfId="15" applyNumberFormat="1" applyAlignment="1">
      <alignment/>
    </xf>
    <xf numFmtId="170" fontId="5" fillId="0" borderId="0" xfId="15" applyNumberFormat="1" applyFont="1" applyAlignment="1">
      <alignment/>
    </xf>
    <xf numFmtId="43" fontId="0" fillId="0" borderId="0" xfId="15" applyFont="1" applyFill="1" applyBorder="1" applyAlignment="1" applyProtection="1">
      <alignment/>
      <protection/>
    </xf>
    <xf numFmtId="168" fontId="17" fillId="0" borderId="0" xfId="0" applyNumberFormat="1" applyFont="1" applyBorder="1" applyAlignment="1">
      <alignment/>
    </xf>
    <xf numFmtId="164" fontId="6" fillId="0" borderId="0" xfId="0" applyNumberFormat="1" applyFont="1" applyAlignment="1">
      <alignment/>
    </xf>
    <xf numFmtId="0" fontId="4" fillId="0" borderId="9" xfId="0" applyFont="1" applyBorder="1" applyAlignment="1">
      <alignment/>
    </xf>
    <xf numFmtId="167" fontId="14" fillId="0" borderId="9" xfId="0" applyNumberFormat="1" applyFont="1" applyBorder="1" applyAlignment="1">
      <alignment/>
    </xf>
    <xf numFmtId="0" fontId="4" fillId="0" borderId="10" xfId="0" applyFont="1" applyBorder="1" applyAlignment="1">
      <alignment/>
    </xf>
    <xf numFmtId="179" fontId="5" fillId="0" borderId="0" xfId="0" applyNumberFormat="1" applyFont="1" applyAlignment="1">
      <alignment/>
    </xf>
    <xf numFmtId="179" fontId="18" fillId="0" borderId="0" xfId="0" applyNumberFormat="1" applyFont="1" applyAlignment="1">
      <alignment/>
    </xf>
    <xf numFmtId="179" fontId="0" fillId="0" borderId="0" xfId="0" applyNumberFormat="1" applyFont="1" applyAlignment="1">
      <alignment/>
    </xf>
    <xf numFmtId="168" fontId="17" fillId="0" borderId="0" xfId="0" applyNumberFormat="1" applyFont="1" applyAlignment="1">
      <alignment/>
    </xf>
    <xf numFmtId="168" fontId="14" fillId="0" borderId="3" xfId="0" applyNumberFormat="1" applyFont="1" applyBorder="1" applyAlignment="1">
      <alignment/>
    </xf>
    <xf numFmtId="168" fontId="0" fillId="0" borderId="0" xfId="0" applyNumberFormat="1" applyAlignment="1">
      <alignment/>
    </xf>
    <xf numFmtId="168" fontId="5" fillId="0" borderId="0" xfId="0" applyNumberFormat="1" applyFont="1" applyAlignment="1">
      <alignment/>
    </xf>
    <xf numFmtId="177" fontId="17" fillId="0" borderId="3" xfId="0" applyNumberFormat="1" applyFont="1" applyBorder="1" applyAlignment="1">
      <alignment/>
    </xf>
    <xf numFmtId="177" fontId="0" fillId="0" borderId="0" xfId="0" applyNumberFormat="1" applyBorder="1" applyAlignment="1">
      <alignment/>
    </xf>
    <xf numFmtId="0" fontId="0" fillId="0" borderId="0" xfId="0" applyFont="1" applyAlignment="1">
      <alignment horizontal="left"/>
    </xf>
    <xf numFmtId="178" fontId="4" fillId="0" borderId="0" xfId="0" applyNumberFormat="1" applyFont="1" applyAlignment="1">
      <alignment horizontal="center"/>
    </xf>
    <xf numFmtId="0" fontId="14" fillId="0" borderId="2" xfId="0" applyNumberFormat="1" applyFont="1" applyBorder="1" applyAlignment="1">
      <alignment horizontal="center"/>
    </xf>
    <xf numFmtId="0" fontId="19" fillId="0" borderId="0" xfId="0" applyFont="1" applyAlignment="1">
      <alignment/>
    </xf>
    <xf numFmtId="0" fontId="5" fillId="0" borderId="0" xfId="0" applyFont="1" applyAlignment="1">
      <alignment/>
    </xf>
    <xf numFmtId="164" fontId="20" fillId="0" borderId="0" xfId="0" applyNumberFormat="1" applyFont="1" applyAlignment="1">
      <alignment/>
    </xf>
    <xf numFmtId="164" fontId="5" fillId="0" borderId="0" xfId="0" applyNumberFormat="1" applyFont="1" applyAlignment="1">
      <alignment/>
    </xf>
    <xf numFmtId="178" fontId="13" fillId="0" borderId="0" xfId="0" applyNumberFormat="1" applyFont="1" applyBorder="1" applyAlignment="1">
      <alignment horizontal="center"/>
    </xf>
    <xf numFmtId="0" fontId="21" fillId="0" borderId="2" xfId="0" applyNumberFormat="1" applyFont="1" applyBorder="1" applyAlignment="1">
      <alignment horizontal="center"/>
    </xf>
    <xf numFmtId="0" fontId="5" fillId="0" borderId="0" xfId="0" applyFont="1" applyAlignment="1">
      <alignment horizontal="center"/>
    </xf>
    <xf numFmtId="164" fontId="22" fillId="0" borderId="0" xfId="0" applyNumberFormat="1" applyFont="1" applyAlignment="1">
      <alignment/>
    </xf>
    <xf numFmtId="174" fontId="5" fillId="0" borderId="0" xfId="0" applyNumberFormat="1" applyFont="1" applyAlignment="1">
      <alignment/>
    </xf>
    <xf numFmtId="177" fontId="0" fillId="0" borderId="3" xfId="0" applyNumberFormat="1" applyBorder="1" applyAlignment="1">
      <alignment/>
    </xf>
    <xf numFmtId="168" fontId="21" fillId="0" borderId="0" xfId="0" applyNumberFormat="1" applyFont="1" applyAlignment="1">
      <alignment/>
    </xf>
    <xf numFmtId="170" fontId="0" fillId="0" borderId="0" xfId="0" applyNumberFormat="1" applyFont="1" applyAlignment="1">
      <alignment/>
    </xf>
    <xf numFmtId="177" fontId="4" fillId="0" borderId="3" xfId="0" applyNumberFormat="1" applyFont="1" applyBorder="1" applyAlignment="1">
      <alignment/>
    </xf>
    <xf numFmtId="170" fontId="24" fillId="0" borderId="0" xfId="0" applyNumberFormat="1" applyFont="1" applyAlignment="1">
      <alignment/>
    </xf>
    <xf numFmtId="1" fontId="4" fillId="0" borderId="2" xfId="0" applyNumberFormat="1" applyFont="1" applyBorder="1" applyAlignment="1">
      <alignment horizontal="center"/>
    </xf>
    <xf numFmtId="0" fontId="7" fillId="0" borderId="0" xfId="0" applyFont="1" applyAlignment="1">
      <alignment horizontal="right"/>
    </xf>
    <xf numFmtId="185" fontId="4" fillId="0" borderId="2" xfId="0" applyNumberFormat="1" applyFont="1" applyBorder="1" applyAlignment="1">
      <alignment horizontal="center"/>
    </xf>
    <xf numFmtId="0" fontId="14" fillId="0" borderId="2" xfId="0" applyNumberFormat="1" applyFont="1" applyBorder="1" applyAlignment="1">
      <alignment horizontal="centerContinuous"/>
    </xf>
    <xf numFmtId="14" fontId="14" fillId="0" borderId="2" xfId="0" applyNumberFormat="1" applyFont="1" applyBorder="1" applyAlignment="1">
      <alignment horizontal="center"/>
    </xf>
    <xf numFmtId="168" fontId="17" fillId="0" borderId="3" xfId="0" applyNumberFormat="1" applyFont="1" applyFill="1" applyBorder="1" applyAlignment="1">
      <alignment/>
    </xf>
    <xf numFmtId="168" fontId="5" fillId="0" borderId="3" xfId="0" applyNumberFormat="1" applyFont="1" applyBorder="1" applyAlignment="1">
      <alignment/>
    </xf>
    <xf numFmtId="168" fontId="0" fillId="0" borderId="3" xfId="0" applyNumberFormat="1" applyFont="1" applyBorder="1" applyAlignment="1">
      <alignment/>
    </xf>
    <xf numFmtId="174" fontId="17" fillId="0" borderId="0" xfId="0" applyNumberFormat="1" applyFont="1" applyAlignment="1">
      <alignment/>
    </xf>
    <xf numFmtId="168" fontId="14" fillId="0" borderId="11" xfId="0" applyNumberFormat="1" applyFont="1" applyBorder="1" applyAlignment="1">
      <alignment/>
    </xf>
    <xf numFmtId="168" fontId="17" fillId="0" borderId="0" xfId="0" applyNumberFormat="1" applyFont="1" applyAlignment="1">
      <alignment/>
    </xf>
    <xf numFmtId="168" fontId="17" fillId="0" borderId="3" xfId="0" applyNumberFormat="1" applyFont="1" applyBorder="1" applyAlignment="1">
      <alignment/>
    </xf>
    <xf numFmtId="179" fontId="15" fillId="0" borderId="0" xfId="0" applyNumberFormat="1" applyFont="1" applyAlignment="1">
      <alignment/>
    </xf>
    <xf numFmtId="0" fontId="0" fillId="0" borderId="0" xfId="0" applyAlignment="1">
      <alignment horizontal="center"/>
    </xf>
    <xf numFmtId="0" fontId="0" fillId="0" borderId="2" xfId="0" applyBorder="1" applyAlignment="1">
      <alignment horizontal="center"/>
    </xf>
    <xf numFmtId="179" fontId="17" fillId="0" borderId="0" xfId="0" applyNumberFormat="1" applyFont="1" applyAlignment="1">
      <alignment/>
    </xf>
    <xf numFmtId="180" fontId="5" fillId="0" borderId="0" xfId="0" applyNumberFormat="1" applyFont="1" applyAlignment="1">
      <alignment/>
    </xf>
    <xf numFmtId="167" fontId="5" fillId="0" borderId="0" xfId="0" applyNumberFormat="1" applyFont="1" applyFill="1" applyBorder="1" applyAlignment="1">
      <alignment/>
    </xf>
    <xf numFmtId="167" fontId="5" fillId="0" borderId="0" xfId="0" applyNumberFormat="1" applyFont="1" applyAlignment="1">
      <alignment horizontal="right"/>
    </xf>
    <xf numFmtId="164" fontId="5" fillId="0" borderId="0" xfId="0" applyNumberFormat="1" applyFont="1" applyAlignment="1">
      <alignment/>
    </xf>
    <xf numFmtId="179" fontId="0" fillId="0" borderId="0" xfId="0" applyNumberFormat="1" applyAlignment="1">
      <alignment/>
    </xf>
    <xf numFmtId="171" fontId="0" fillId="0" borderId="3" xfId="0" applyNumberFormat="1" applyBorder="1" applyAlignment="1">
      <alignment/>
    </xf>
    <xf numFmtId="170" fontId="0" fillId="0" borderId="0" xfId="0" applyNumberFormat="1" applyFont="1" applyBorder="1" applyAlignment="1">
      <alignment/>
    </xf>
    <xf numFmtId="0" fontId="0" fillId="0" borderId="0" xfId="0" applyAlignment="1">
      <alignment horizontal="left" indent="1"/>
    </xf>
    <xf numFmtId="168" fontId="0" fillId="0" borderId="0" xfId="0" applyNumberFormat="1" applyFont="1" applyAlignment="1">
      <alignment/>
    </xf>
    <xf numFmtId="174" fontId="0" fillId="0" borderId="0" xfId="0" applyNumberFormat="1" applyFont="1" applyAlignment="1">
      <alignment/>
    </xf>
    <xf numFmtId="169" fontId="17" fillId="0" borderId="0" xfId="0" applyNumberFormat="1" applyFont="1" applyBorder="1" applyAlignment="1">
      <alignment/>
    </xf>
    <xf numFmtId="0" fontId="0" fillId="0" borderId="0" xfId="0" applyNumberFormat="1" applyBorder="1" applyAlignment="1">
      <alignment/>
    </xf>
    <xf numFmtId="175" fontId="17" fillId="0" borderId="0" xfId="0" applyNumberFormat="1" applyFont="1" applyBorder="1" applyAlignment="1">
      <alignment/>
    </xf>
    <xf numFmtId="0" fontId="25" fillId="2" borderId="0" xfId="0" applyFont="1" applyFill="1" applyAlignment="1">
      <alignment horizontal="centerContinuous"/>
    </xf>
    <xf numFmtId="166" fontId="7" fillId="0" borderId="0" xfId="0" applyNumberFormat="1" applyFont="1" applyBorder="1" applyAlignment="1">
      <alignment/>
    </xf>
    <xf numFmtId="0" fontId="0" fillId="0" borderId="0" xfId="0" applyAlignment="1">
      <alignment/>
    </xf>
    <xf numFmtId="176" fontId="5" fillId="0" borderId="0" xfId="0" applyNumberFormat="1" applyFont="1" applyBorder="1" applyAlignment="1">
      <alignment horizontal="center"/>
    </xf>
    <xf numFmtId="186" fontId="14" fillId="0" borderId="2" xfId="0" applyNumberFormat="1" applyFont="1" applyBorder="1" applyAlignment="1">
      <alignment horizontal="center"/>
    </xf>
    <xf numFmtId="0" fontId="14" fillId="0" borderId="0" xfId="0" applyNumberFormat="1" applyFont="1" applyBorder="1" applyAlignment="1">
      <alignment horizontal="centerContinuous"/>
    </xf>
    <xf numFmtId="186" fontId="14" fillId="0" borderId="2" xfId="0" applyNumberFormat="1" applyFont="1" applyBorder="1" applyAlignment="1">
      <alignment horizontal="centerContinuous"/>
    </xf>
    <xf numFmtId="0" fontId="14" fillId="0" borderId="0" xfId="0" applyNumberFormat="1" applyFont="1" applyBorder="1" applyAlignment="1">
      <alignment horizontal="left"/>
    </xf>
    <xf numFmtId="166" fontId="7" fillId="0" borderId="0" xfId="0" applyNumberFormat="1" applyFont="1" applyAlignment="1">
      <alignment/>
    </xf>
    <xf numFmtId="166" fontId="0" fillId="0" borderId="0" xfId="0" applyNumberFormat="1" applyFont="1" applyAlignment="1">
      <alignment/>
    </xf>
    <xf numFmtId="168" fontId="0" fillId="0" borderId="0" xfId="0" applyNumberFormat="1" applyFont="1" applyFill="1" applyBorder="1" applyAlignment="1">
      <alignment/>
    </xf>
    <xf numFmtId="187" fontId="0" fillId="0" borderId="0" xfId="0" applyNumberFormat="1" applyAlignment="1">
      <alignment/>
    </xf>
    <xf numFmtId="0" fontId="5" fillId="0" borderId="0" xfId="0" applyNumberFormat="1" applyFont="1" applyAlignment="1">
      <alignment horizontal="center"/>
    </xf>
    <xf numFmtId="0" fontId="17" fillId="0" borderId="0" xfId="0" applyNumberFormat="1" applyFont="1" applyAlignment="1">
      <alignment horizontal="center"/>
    </xf>
    <xf numFmtId="0" fontId="0" fillId="0" borderId="0" xfId="0" applyNumberFormat="1" applyFont="1" applyAlignment="1">
      <alignment horizontal="center"/>
    </xf>
    <xf numFmtId="0" fontId="6" fillId="0" borderId="0" xfId="0" applyFont="1" applyAlignment="1">
      <alignment wrapText="1"/>
    </xf>
    <xf numFmtId="0" fontId="0" fillId="0" borderId="0" xfId="0" applyFont="1" applyAlignment="1">
      <alignment vertical="top"/>
    </xf>
    <xf numFmtId="0" fontId="6" fillId="0" borderId="0" xfId="0" applyFont="1" applyAlignment="1">
      <alignment horizontal="center" vertical="top" wrapText="1"/>
    </xf>
    <xf numFmtId="168" fontId="5" fillId="0" borderId="0" xfId="0" applyNumberFormat="1" applyFont="1" applyFill="1" applyBorder="1" applyAlignment="1">
      <alignment/>
    </xf>
    <xf numFmtId="169" fontId="17" fillId="0" borderId="0" xfId="15" applyNumberFormat="1" applyFont="1" applyAlignment="1">
      <alignment/>
    </xf>
    <xf numFmtId="170" fontId="0" fillId="0" borderId="0" xfId="0" applyNumberFormat="1" applyFont="1" applyFill="1" applyBorder="1" applyAlignment="1">
      <alignment/>
    </xf>
    <xf numFmtId="170" fontId="17" fillId="0" borderId="0" xfId="0" applyNumberFormat="1" applyFont="1" applyFill="1" applyBorder="1" applyAlignment="1">
      <alignment/>
    </xf>
    <xf numFmtId="168" fontId="14" fillId="0" borderId="11" xfId="0" applyNumberFormat="1" applyFont="1" applyBorder="1" applyAlignment="1">
      <alignment/>
    </xf>
    <xf numFmtId="0" fontId="17" fillId="0" borderId="0" xfId="0" applyNumberFormat="1" applyFont="1" applyAlignment="1">
      <alignment/>
    </xf>
    <xf numFmtId="176" fontId="5" fillId="0" borderId="0" xfId="0" applyNumberFormat="1" applyFont="1" applyAlignment="1">
      <alignment horizontal="center"/>
    </xf>
    <xf numFmtId="176" fontId="0" fillId="0" borderId="0" xfId="0" applyNumberFormat="1" applyAlignment="1">
      <alignment/>
    </xf>
    <xf numFmtId="176" fontId="5" fillId="0" borderId="0" xfId="0" applyNumberFormat="1" applyFont="1" applyAlignment="1">
      <alignment horizontal="centerContinuous"/>
    </xf>
    <xf numFmtId="176" fontId="0" fillId="0" borderId="0" xfId="0" applyNumberFormat="1" applyAlignment="1">
      <alignment horizontal="centerContinuous"/>
    </xf>
    <xf numFmtId="176" fontId="17" fillId="0" borderId="0" xfId="0" applyNumberFormat="1" applyFont="1" applyAlignment="1">
      <alignment horizontal="center"/>
    </xf>
    <xf numFmtId="164" fontId="26" fillId="0" borderId="11" xfId="0" applyNumberFormat="1" applyFont="1" applyBorder="1" applyAlignment="1">
      <alignment/>
    </xf>
    <xf numFmtId="169" fontId="14" fillId="0" borderId="11" xfId="0" applyNumberFormat="1" applyFont="1" applyBorder="1" applyAlignment="1">
      <alignment/>
    </xf>
    <xf numFmtId="0" fontId="0" fillId="0" borderId="0" xfId="0" applyNumberFormat="1" applyFont="1" applyFill="1" applyBorder="1" applyAlignment="1" applyProtection="1">
      <alignment horizontal="left" indent="1"/>
      <protection/>
    </xf>
    <xf numFmtId="167" fontId="7" fillId="0" borderId="0" xfId="0" applyNumberFormat="1" applyFont="1" applyAlignment="1">
      <alignment horizontal="right"/>
    </xf>
    <xf numFmtId="166" fontId="6" fillId="0" borderId="0" xfId="0" applyNumberFormat="1" applyFont="1" applyBorder="1" applyAlignment="1">
      <alignment/>
    </xf>
    <xf numFmtId="166" fontId="6" fillId="0" borderId="0" xfId="0" applyNumberFormat="1" applyFont="1" applyAlignment="1">
      <alignment/>
    </xf>
    <xf numFmtId="0" fontId="17" fillId="0" borderId="2" xfId="0" applyNumberFormat="1" applyFont="1" applyBorder="1" applyAlignment="1">
      <alignment horizontal="center"/>
    </xf>
    <xf numFmtId="0" fontId="17" fillId="0" borderId="0" xfId="0" applyNumberFormat="1" applyFont="1" applyBorder="1" applyAlignment="1">
      <alignment horizontal="center"/>
    </xf>
    <xf numFmtId="166" fontId="15" fillId="0" borderId="0" xfId="0" applyNumberFormat="1" applyFont="1" applyAlignment="1">
      <alignment/>
    </xf>
    <xf numFmtId="166" fontId="7" fillId="0" borderId="0" xfId="0" applyNumberFormat="1" applyFont="1" applyFill="1" applyBorder="1" applyAlignment="1">
      <alignment/>
    </xf>
    <xf numFmtId="173" fontId="6" fillId="0" borderId="0" xfId="0" applyNumberFormat="1" applyFont="1" applyAlignment="1">
      <alignment/>
    </xf>
    <xf numFmtId="164" fontId="7" fillId="0" borderId="0" xfId="0" applyNumberFormat="1" applyFont="1" applyFill="1" applyBorder="1" applyAlignment="1">
      <alignment/>
    </xf>
    <xf numFmtId="1" fontId="5" fillId="0" borderId="0" xfId="0" applyNumberFormat="1" applyFont="1" applyBorder="1" applyAlignment="1">
      <alignment horizontal="center"/>
    </xf>
    <xf numFmtId="164" fontId="6" fillId="0" borderId="0" xfId="0" applyNumberFormat="1" applyFont="1" applyFill="1" applyBorder="1" applyAlignment="1">
      <alignment/>
    </xf>
    <xf numFmtId="0" fontId="0" fillId="0" borderId="0" xfId="0" applyFont="1" applyAlignment="1">
      <alignment horizontal="center"/>
    </xf>
    <xf numFmtId="1" fontId="5" fillId="0" borderId="0" xfId="0" applyNumberFormat="1" applyFont="1" applyAlignment="1">
      <alignment horizontal="center"/>
    </xf>
    <xf numFmtId="188" fontId="4" fillId="0" borderId="0" xfId="0" applyNumberFormat="1" applyFont="1" applyAlignment="1">
      <alignment horizontal="center"/>
    </xf>
    <xf numFmtId="170" fontId="0" fillId="0" borderId="0" xfId="0" applyNumberFormat="1" applyAlignment="1">
      <alignment horizontal="right"/>
    </xf>
    <xf numFmtId="0" fontId="14" fillId="0" borderId="0" xfId="0" applyNumberFormat="1" applyFont="1" applyBorder="1" applyAlignment="1">
      <alignment horizontal="center"/>
    </xf>
    <xf numFmtId="1" fontId="4" fillId="0" borderId="0" xfId="0" applyNumberFormat="1" applyFont="1" applyBorder="1" applyAlignment="1">
      <alignment horizontal="center"/>
    </xf>
    <xf numFmtId="176" fontId="0" fillId="0" borderId="0" xfId="0" applyNumberFormat="1" applyAlignment="1">
      <alignment horizontal="center"/>
    </xf>
    <xf numFmtId="168" fontId="0" fillId="0" borderId="0" xfId="0" applyNumberFormat="1" applyFont="1" applyAlignment="1">
      <alignment/>
    </xf>
    <xf numFmtId="0" fontId="0" fillId="0" borderId="0" xfId="0" applyAlignment="1" quotePrefix="1">
      <alignment/>
    </xf>
    <xf numFmtId="0" fontId="0" fillId="0" borderId="0" xfId="0" applyNumberFormat="1" applyFont="1" applyFill="1" applyBorder="1" applyAlignment="1" quotePrefix="1">
      <alignment/>
    </xf>
    <xf numFmtId="0" fontId="0" fillId="0" borderId="0" xfId="0" applyFont="1" applyAlignment="1" quotePrefix="1">
      <alignment/>
    </xf>
    <xf numFmtId="0" fontId="4" fillId="3" borderId="12" xfId="0" applyFont="1" applyFill="1" applyBorder="1" applyAlignment="1">
      <alignment horizontal="centerContinuous"/>
    </xf>
    <xf numFmtId="0" fontId="0" fillId="3" borderId="4" xfId="0" applyFill="1" applyBorder="1" applyAlignment="1">
      <alignment horizontal="centerContinuous"/>
    </xf>
    <xf numFmtId="0" fontId="0" fillId="3" borderId="5" xfId="0" applyFill="1" applyBorder="1" applyAlignment="1">
      <alignment horizontal="centerContinuous"/>
    </xf>
    <xf numFmtId="0" fontId="0" fillId="0" borderId="13" xfId="0" applyFont="1" applyBorder="1" applyAlignment="1">
      <alignment horizontal="centerContinuous"/>
    </xf>
    <xf numFmtId="0" fontId="0" fillId="0" borderId="9" xfId="0" applyBorder="1" applyAlignment="1">
      <alignment horizontal="centerContinuous"/>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0" fontId="0" fillId="0" borderId="12" xfId="0" applyBorder="1" applyAlignment="1">
      <alignment/>
    </xf>
    <xf numFmtId="170" fontId="17" fillId="0" borderId="4" xfId="0" applyNumberFormat="1" applyFont="1" applyBorder="1" applyAlignment="1">
      <alignment/>
    </xf>
    <xf numFmtId="170" fontId="5" fillId="0" borderId="5" xfId="0" applyNumberFormat="1" applyFont="1" applyBorder="1" applyAlignment="1">
      <alignment/>
    </xf>
    <xf numFmtId="0" fontId="0" fillId="0" borderId="14" xfId="0" applyBorder="1" applyAlignment="1">
      <alignment/>
    </xf>
    <xf numFmtId="168" fontId="17" fillId="0" borderId="7" xfId="0" applyNumberFormat="1" applyFont="1" applyBorder="1" applyAlignment="1">
      <alignment/>
    </xf>
    <xf numFmtId="168" fontId="17" fillId="0" borderId="8" xfId="0" applyNumberFormat="1" applyFont="1" applyBorder="1" applyAlignment="1">
      <alignment/>
    </xf>
    <xf numFmtId="0" fontId="0" fillId="0" borderId="15" xfId="0" applyBorder="1" applyAlignment="1">
      <alignment/>
    </xf>
    <xf numFmtId="0" fontId="5" fillId="0" borderId="0" xfId="0" applyFont="1" applyBorder="1" applyAlignment="1">
      <alignment horizontal="right"/>
    </xf>
    <xf numFmtId="170" fontId="17" fillId="0" borderId="6" xfId="0" applyNumberFormat="1" applyFont="1" applyBorder="1" applyAlignment="1">
      <alignment/>
    </xf>
    <xf numFmtId="168" fontId="5" fillId="0" borderId="7" xfId="0" applyNumberFormat="1" applyFont="1" applyBorder="1" applyAlignment="1">
      <alignment horizontal="right"/>
    </xf>
    <xf numFmtId="0" fontId="18" fillId="0" borderId="0" xfId="0" applyFont="1" applyAlignment="1">
      <alignment/>
    </xf>
    <xf numFmtId="0" fontId="5" fillId="4" borderId="0" xfId="0" applyFont="1" applyFill="1" applyAlignment="1">
      <alignment/>
    </xf>
    <xf numFmtId="170" fontId="5" fillId="0" borderId="0" xfId="0" applyNumberFormat="1" applyFont="1" applyBorder="1" applyAlignment="1">
      <alignment/>
    </xf>
    <xf numFmtId="189" fontId="0" fillId="0" borderId="0" xfId="0" applyNumberFormat="1" applyAlignment="1">
      <alignment/>
    </xf>
    <xf numFmtId="168" fontId="24" fillId="0" borderId="0" xfId="0" applyNumberFormat="1" applyFont="1" applyAlignment="1">
      <alignment/>
    </xf>
    <xf numFmtId="170" fontId="24" fillId="0" borderId="0" xfId="0" applyNumberFormat="1" applyFont="1" applyFill="1" applyBorder="1" applyAlignment="1">
      <alignment/>
    </xf>
    <xf numFmtId="0" fontId="0" fillId="3" borderId="0" xfId="0" applyFill="1" applyAlignment="1">
      <alignment/>
    </xf>
    <xf numFmtId="0" fontId="4" fillId="3" borderId="0" xfId="0" applyFont="1" applyFill="1" applyBorder="1" applyAlignment="1">
      <alignment horizontal="centerContinuous"/>
    </xf>
    <xf numFmtId="0" fontId="4" fillId="3" borderId="7" xfId="0" applyFont="1" applyFill="1" applyBorder="1" applyAlignment="1">
      <alignment horizontal="centerContinuous"/>
    </xf>
    <xf numFmtId="0" fontId="0" fillId="3" borderId="7" xfId="0" applyFill="1" applyBorder="1" applyAlignment="1">
      <alignment horizontal="centerContinuous"/>
    </xf>
    <xf numFmtId="0" fontId="0" fillId="3" borderId="8" xfId="0" applyFill="1" applyBorder="1" applyAlignment="1">
      <alignment horizontal="centerContinuous"/>
    </xf>
    <xf numFmtId="0" fontId="0" fillId="0" borderId="10" xfId="0" applyBorder="1" applyAlignment="1">
      <alignment horizontal="centerContinuous"/>
    </xf>
    <xf numFmtId="0" fontId="13" fillId="0" borderId="9" xfId="0" applyFont="1" applyBorder="1" applyAlignment="1">
      <alignment horizontal="centerContinuous"/>
    </xf>
    <xf numFmtId="0" fontId="4" fillId="0" borderId="10" xfId="0" applyFont="1" applyBorder="1" applyAlignment="1">
      <alignment horizontal="centerContinuous"/>
    </xf>
    <xf numFmtId="0" fontId="4" fillId="0" borderId="9" xfId="0" applyFont="1" applyBorder="1" applyAlignment="1">
      <alignment horizontal="centerContinuous"/>
    </xf>
  </cellXfs>
  <cellStyles count="8">
    <cellStyle name="Normal" xfId="0"/>
    <cellStyle name="Comma" xfId="15"/>
    <cellStyle name="Comma [0]" xfId="16"/>
    <cellStyle name="Currency" xfId="17"/>
    <cellStyle name="Currency [0]" xfId="18"/>
    <cellStyle name="Hyperlink" xfId="19"/>
    <cellStyle name="Normal_Seevers_Clean Stub Long Form Model2" xfId="20"/>
    <cellStyle name="Percent" xfId="21"/>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remacgregor%20On%20My%20Mac\Sites\Macabacus\httpdocs\public\excel\xls\templates\lbo-long-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get P&amp;L"/>
      <sheetName val="L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55"/>
  <sheetViews>
    <sheetView showGridLines="0" tabSelected="1" zoomScale="80" zoomScaleNormal="80" workbookViewId="0" topLeftCell="A176">
      <selection activeCell="A184" sqref="A184"/>
    </sheetView>
  </sheetViews>
  <sheetFormatPr defaultColWidth="9.140625" defaultRowHeight="12.75"/>
  <cols>
    <col min="1" max="2" width="1.7109375" style="0" customWidth="1"/>
    <col min="3" max="5" width="9.7109375" style="0" customWidth="1"/>
    <col min="6" max="6" width="1.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2" width="1.7109375" style="0" customWidth="1"/>
    <col min="23" max="23" width="9.7109375" style="0" customWidth="1"/>
    <col min="24" max="24" width="1.7109375" style="0" customWidth="1"/>
    <col min="25" max="25" width="9.7109375" style="0" customWidth="1"/>
    <col min="26" max="26" width="1.7109375" style="0" customWidth="1"/>
    <col min="27" max="27" width="9.7109375" style="0" customWidth="1"/>
    <col min="28" max="28" width="1.7109375" style="0" customWidth="1"/>
    <col min="29" max="29" width="9.7109375" style="0" customWidth="1"/>
    <col min="30" max="30" width="1.7109375" style="0" customWidth="1"/>
    <col min="32" max="32" width="1.7109375" style="0" customWidth="1"/>
    <col min="34" max="34" width="1.7109375" style="0" customWidth="1"/>
    <col min="36" max="36" width="1.7109375" style="0" customWidth="1"/>
    <col min="37" max="37" width="9.7109375" style="0" customWidth="1"/>
    <col min="38" max="38" width="1.7109375" style="0" customWidth="1"/>
    <col min="39" max="39" width="9.7109375" style="0" customWidth="1"/>
    <col min="40" max="40" width="1.7109375" style="0" customWidth="1"/>
    <col min="42" max="42" width="1.7109375" style="0" customWidth="1"/>
  </cols>
  <sheetData>
    <row r="1" spans="1:35" ht="24" customHeight="1" thickBot="1">
      <c r="A1" s="1" t="str">
        <f>AI30&amp;" LBO Valuation"</f>
        <v>TargetCo LBO Valuation</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3" ht="13.5" thickBot="1">
      <c r="A2" s="3" t="s">
        <v>0</v>
      </c>
      <c r="AK2" s="20" t="s">
        <v>112</v>
      </c>
      <c r="AL2" s="21"/>
      <c r="AM2" s="20"/>
      <c r="AN2" s="21"/>
      <c r="AO2" s="21"/>
      <c r="AP2" s="21"/>
      <c r="AQ2" s="21"/>
    </row>
    <row r="3" spans="39:43" ht="12.75">
      <c r="AM3" s="110" t="s">
        <v>113</v>
      </c>
      <c r="AO3" s="110" t="s">
        <v>114</v>
      </c>
      <c r="AQ3" s="110" t="s">
        <v>115</v>
      </c>
    </row>
    <row r="4" spans="1:43" ht="13.5" customHeight="1" thickBot="1">
      <c r="A4" s="4" t="s">
        <v>224</v>
      </c>
      <c r="B4" s="4"/>
      <c r="C4" s="4"/>
      <c r="D4" s="4"/>
      <c r="E4" s="4"/>
      <c r="F4" s="4"/>
      <c r="G4" s="4"/>
      <c r="H4" s="4"/>
      <c r="I4" s="4"/>
      <c r="J4" s="4"/>
      <c r="K4" s="4"/>
      <c r="L4" s="4"/>
      <c r="M4" s="4"/>
      <c r="N4" s="4"/>
      <c r="O4" s="4"/>
      <c r="P4" s="4"/>
      <c r="Q4" s="4"/>
      <c r="S4" s="4" t="s">
        <v>1</v>
      </c>
      <c r="T4" s="4"/>
      <c r="U4" s="4"/>
      <c r="V4" s="4"/>
      <c r="W4" s="4"/>
      <c r="X4" s="4"/>
      <c r="Y4" s="4"/>
      <c r="AA4" s="4" t="s">
        <v>261</v>
      </c>
      <c r="AB4" s="4"/>
      <c r="AC4" s="4"/>
      <c r="AD4" s="4"/>
      <c r="AE4" s="4"/>
      <c r="AF4" s="4"/>
      <c r="AG4" s="4"/>
      <c r="AH4" s="4"/>
      <c r="AI4" s="4"/>
      <c r="AK4" s="5"/>
      <c r="AL4" s="5"/>
      <c r="AM4" s="111" t="s">
        <v>116</v>
      </c>
      <c r="AN4" s="5"/>
      <c r="AO4" s="111" t="s">
        <v>117</v>
      </c>
      <c r="AP4" s="5"/>
      <c r="AQ4" s="111" t="s">
        <v>118</v>
      </c>
    </row>
    <row r="5" spans="37:43" ht="12.75">
      <c r="AK5" t="s">
        <v>119</v>
      </c>
      <c r="AM5" s="71">
        <v>0.209</v>
      </c>
      <c r="AO5" s="7">
        <v>9.04</v>
      </c>
      <c r="AQ5" s="112">
        <f aca="true" t="shared" si="0" ref="AQ5:AQ14">IF(AO5&gt;trans_price,0,AM5-AM5*AO5/trans_price)</f>
        <v>0.09100718188914911</v>
      </c>
    </row>
    <row r="6" spans="9:43" ht="12.75" customHeight="1">
      <c r="I6" s="22" t="s">
        <v>225</v>
      </c>
      <c r="K6" s="22" t="s">
        <v>203</v>
      </c>
      <c r="M6" s="22" t="s">
        <v>226</v>
      </c>
      <c r="Q6" s="22" t="s">
        <v>231</v>
      </c>
      <c r="S6" t="s">
        <v>2</v>
      </c>
      <c r="Y6" s="7">
        <v>12.81</v>
      </c>
      <c r="AA6" t="s">
        <v>262</v>
      </c>
      <c r="AI6" s="9">
        <v>0.25</v>
      </c>
      <c r="AK6" t="s">
        <v>120</v>
      </c>
      <c r="AM6" s="71">
        <v>0.059</v>
      </c>
      <c r="AO6" s="113">
        <v>10.03</v>
      </c>
      <c r="AQ6" s="112">
        <f t="shared" si="0"/>
        <v>0.022043247462919593</v>
      </c>
    </row>
    <row r="7" spans="7:43" s="6" customFormat="1" ht="13.5" customHeight="1" thickBot="1">
      <c r="G7" s="26" t="s">
        <v>227</v>
      </c>
      <c r="H7" s="5"/>
      <c r="I7" s="26" t="s">
        <v>228</v>
      </c>
      <c r="J7" s="5"/>
      <c r="K7" s="26" t="s">
        <v>30</v>
      </c>
      <c r="L7" s="5"/>
      <c r="M7" s="26" t="s">
        <v>229</v>
      </c>
      <c r="N7" s="5"/>
      <c r="O7" s="26" t="s">
        <v>230</v>
      </c>
      <c r="P7" s="5"/>
      <c r="Q7" s="26" t="s">
        <v>232</v>
      </c>
      <c r="S7" t="s">
        <v>3</v>
      </c>
      <c r="T7"/>
      <c r="U7"/>
      <c r="V7"/>
      <c r="W7"/>
      <c r="X7"/>
      <c r="Y7" s="9">
        <v>0.25</v>
      </c>
      <c r="AA7" t="s">
        <v>263</v>
      </c>
      <c r="AB7"/>
      <c r="AC7"/>
      <c r="AD7"/>
      <c r="AE7"/>
      <c r="AF7"/>
      <c r="AG7"/>
      <c r="AH7"/>
      <c r="AI7" s="54">
        <v>5</v>
      </c>
      <c r="AK7" t="s">
        <v>121</v>
      </c>
      <c r="AL7"/>
      <c r="AM7" s="71">
        <v>0.221</v>
      </c>
      <c r="AN7"/>
      <c r="AO7" s="113">
        <v>11.53</v>
      </c>
      <c r="AP7"/>
      <c r="AQ7" s="112">
        <f t="shared" si="0"/>
        <v>0.06186619828259171</v>
      </c>
    </row>
    <row r="8" spans="1:43" ht="13.5" customHeight="1">
      <c r="A8" s="83" t="s">
        <v>204</v>
      </c>
      <c r="B8" s="83"/>
      <c r="S8" s="157" t="s">
        <v>4</v>
      </c>
      <c r="U8" s="5"/>
      <c r="V8" s="5"/>
      <c r="W8" s="5"/>
      <c r="X8" s="5"/>
      <c r="Y8" s="11">
        <f>Y6*(1+Y7)</f>
        <v>16.0125</v>
      </c>
      <c r="AA8" t="s">
        <v>264</v>
      </c>
      <c r="AI8" s="77">
        <v>15</v>
      </c>
      <c r="AK8" t="s">
        <v>122</v>
      </c>
      <c r="AM8" s="71">
        <v>0.3</v>
      </c>
      <c r="AO8" s="113">
        <v>12.69</v>
      </c>
      <c r="AQ8" s="112">
        <f t="shared" si="0"/>
        <v>0.062248243559718974</v>
      </c>
    </row>
    <row r="9" spans="2:43" ht="12.75">
      <c r="B9" t="s">
        <v>206</v>
      </c>
      <c r="G9" s="76">
        <f>S285</f>
        <v>116.606</v>
      </c>
      <c r="I9" s="33">
        <f>G9/$G$28</f>
        <v>0.14303229720995186</v>
      </c>
      <c r="K9" s="145">
        <f>G9/ltm_ebitda</f>
        <v>0.9668822553897183</v>
      </c>
      <c r="M9" s="160">
        <f>Q28</f>
        <v>0.02</v>
      </c>
      <c r="AA9" t="s">
        <v>265</v>
      </c>
      <c r="AI9" s="54">
        <v>8</v>
      </c>
      <c r="AK9" t="s">
        <v>123</v>
      </c>
      <c r="AM9" s="71">
        <v>0.269</v>
      </c>
      <c r="AO9" s="113">
        <v>19.54</v>
      </c>
      <c r="AQ9" s="112">
        <f t="shared" si="0"/>
        <v>0</v>
      </c>
    </row>
    <row r="10" spans="2:43" s="10" customFormat="1" ht="13.5" customHeight="1">
      <c r="B10" s="5" t="s">
        <v>207</v>
      </c>
      <c r="G10" s="119">
        <f>S286</f>
        <v>230</v>
      </c>
      <c r="I10" s="33">
        <f>G10/$G$28</f>
        <v>0.2821246621810964</v>
      </c>
      <c r="K10" s="145">
        <f>G10/ltm_ebitda</f>
        <v>1.9071310116086242</v>
      </c>
      <c r="M10" s="160">
        <f>AO21</f>
        <v>0.025</v>
      </c>
      <c r="Q10" s="169">
        <f>M152</f>
        <v>0</v>
      </c>
      <c r="S10" s="24" t="s">
        <v>143</v>
      </c>
      <c r="Y10" s="117">
        <f>AQ27</f>
        <v>35.15916487119438</v>
      </c>
      <c r="AK10" t="s">
        <v>124</v>
      </c>
      <c r="AL10"/>
      <c r="AM10" s="71">
        <v>0.211</v>
      </c>
      <c r="AN10"/>
      <c r="AO10" s="113">
        <v>27.06</v>
      </c>
      <c r="AP10"/>
      <c r="AQ10" s="112">
        <f t="shared" si="0"/>
        <v>0</v>
      </c>
    </row>
    <row r="11" spans="2:43" ht="12.75" customHeight="1">
      <c r="B11" t="s">
        <v>223</v>
      </c>
      <c r="G11" s="119">
        <f>S287</f>
        <v>0</v>
      </c>
      <c r="I11" s="33">
        <f>G11/$G$28</f>
        <v>0</v>
      </c>
      <c r="K11" s="145">
        <f>G11/ltm_ebitda</f>
        <v>0</v>
      </c>
      <c r="M11" s="158"/>
      <c r="S11" s="24" t="s">
        <v>144</v>
      </c>
      <c r="Y11" s="121">
        <f>Y10*Y8</f>
        <v>562.9861275</v>
      </c>
      <c r="AA11" s="24" t="s">
        <v>266</v>
      </c>
      <c r="AB11" s="10"/>
      <c r="AC11" s="10"/>
      <c r="AD11" s="10"/>
      <c r="AE11" s="10"/>
      <c r="AF11" s="10"/>
      <c r="AG11" s="10"/>
      <c r="AH11" s="10"/>
      <c r="AI11" s="9">
        <v>0.35</v>
      </c>
      <c r="AK11" t="s">
        <v>125</v>
      </c>
      <c r="AM11" s="71">
        <v>0.187</v>
      </c>
      <c r="AO11" s="113">
        <v>45.75</v>
      </c>
      <c r="AQ11" s="112">
        <f t="shared" si="0"/>
        <v>0</v>
      </c>
    </row>
    <row r="12" spans="2:43" ht="12.75" customHeight="1" thickBot="1">
      <c r="B12" t="s">
        <v>233</v>
      </c>
      <c r="I12" s="19"/>
      <c r="S12" s="6" t="s">
        <v>145</v>
      </c>
      <c r="Y12" s="122">
        <f>AQ34</f>
        <v>83.394</v>
      </c>
      <c r="AA12" s="24" t="s">
        <v>267</v>
      </c>
      <c r="AI12" s="89">
        <v>0</v>
      </c>
      <c r="AK12" t="s">
        <v>126</v>
      </c>
      <c r="AM12" s="71">
        <v>0</v>
      </c>
      <c r="AO12" s="113">
        <v>0</v>
      </c>
      <c r="AQ12" s="112">
        <f t="shared" si="0"/>
        <v>0</v>
      </c>
    </row>
    <row r="13" spans="3:43" ht="13.5" customHeight="1" thickBot="1">
      <c r="C13" t="str">
        <f>B288</f>
        <v>Revolver</v>
      </c>
      <c r="G13" s="37">
        <f>S288</f>
        <v>0</v>
      </c>
      <c r="I13" s="33">
        <f>G13/$G$28</f>
        <v>0</v>
      </c>
      <c r="K13" s="145">
        <f aca="true" t="shared" si="1" ref="K13:K19">G13/ltm_ebitda</f>
        <v>0</v>
      </c>
      <c r="M13" s="160">
        <f>libor+O13/10000</f>
        <v>0.0703</v>
      </c>
      <c r="O13" s="165">
        <f>M137*10000</f>
        <v>425.00000000000006</v>
      </c>
      <c r="S13" s="157" t="s">
        <v>146</v>
      </c>
      <c r="Y13" s="106">
        <f>SUM(Y11:Y12)</f>
        <v>646.3801275</v>
      </c>
      <c r="AK13" t="s">
        <v>127</v>
      </c>
      <c r="AM13" s="71">
        <v>0</v>
      </c>
      <c r="AO13" s="113">
        <v>0</v>
      </c>
      <c r="AQ13" s="112">
        <f t="shared" si="0"/>
        <v>0</v>
      </c>
    </row>
    <row r="14" spans="3:43" ht="13.5" customHeight="1" thickTop="1">
      <c r="C14" t="str">
        <f aca="true" t="shared" si="2" ref="C14:C19">B289</f>
        <v>Term Loan - A</v>
      </c>
      <c r="G14" s="37">
        <f aca="true" t="shared" si="3" ref="G14:G19">S289</f>
        <v>150</v>
      </c>
      <c r="I14" s="33">
        <f>G14/$G$28</f>
        <v>0.18399434490071506</v>
      </c>
      <c r="K14" s="145">
        <f t="shared" si="1"/>
        <v>1.2437810945273635</v>
      </c>
      <c r="M14" s="160">
        <f>libor+O14/10000</f>
        <v>0.07569999999999999</v>
      </c>
      <c r="O14" s="165">
        <f>M138*10000</f>
        <v>479</v>
      </c>
      <c r="Q14" s="169">
        <f aca="true" t="shared" si="4" ref="Q14:Q19">M153</f>
        <v>0</v>
      </c>
      <c r="AA14" t="s">
        <v>268</v>
      </c>
      <c r="AI14" s="175">
        <f>1-LBO</f>
        <v>0</v>
      </c>
      <c r="AK14" s="5" t="s">
        <v>128</v>
      </c>
      <c r="AL14" s="5"/>
      <c r="AM14" s="71">
        <v>0</v>
      </c>
      <c r="AN14" s="5"/>
      <c r="AO14" s="113">
        <v>0</v>
      </c>
      <c r="AP14" s="5"/>
      <c r="AQ14" s="112">
        <f t="shared" si="0"/>
        <v>0</v>
      </c>
    </row>
    <row r="15" spans="3:43" ht="13.5" customHeight="1" thickBot="1">
      <c r="C15" t="str">
        <f t="shared" si="2"/>
        <v>Term Loan - B</v>
      </c>
      <c r="G15" s="37">
        <f t="shared" si="3"/>
        <v>0</v>
      </c>
      <c r="I15" s="33">
        <f>G15/$G$28</f>
        <v>0</v>
      </c>
      <c r="K15" s="145">
        <f t="shared" si="1"/>
        <v>0</v>
      </c>
      <c r="M15" s="160">
        <f>libor+O15/10000</f>
        <v>0.08779999999999999</v>
      </c>
      <c r="O15" s="165">
        <f>M139*10000</f>
        <v>600</v>
      </c>
      <c r="Q15" s="169">
        <f t="shared" si="4"/>
        <v>0</v>
      </c>
      <c r="S15" s="20" t="s">
        <v>147</v>
      </c>
      <c r="T15" s="21"/>
      <c r="U15" s="20"/>
      <c r="V15" s="21"/>
      <c r="W15" s="21"/>
      <c r="X15" s="21"/>
      <c r="Y15" s="21"/>
      <c r="AC15" s="10"/>
      <c r="AD15" s="10"/>
      <c r="AE15" s="10"/>
      <c r="AF15" s="10"/>
      <c r="AG15" s="10"/>
      <c r="AH15" s="10"/>
      <c r="AI15" s="10"/>
      <c r="AP15" s="10"/>
      <c r="AQ15" s="10"/>
    </row>
    <row r="16" spans="3:43" ht="13.5" customHeight="1" thickBot="1">
      <c r="C16" t="str">
        <f t="shared" si="2"/>
        <v>Senior Note</v>
      </c>
      <c r="G16" s="37">
        <f t="shared" si="3"/>
        <v>75</v>
      </c>
      <c r="I16" s="33">
        <f aca="true" t="shared" si="5" ref="I16:I27">G16/$G$28</f>
        <v>0.09199717245035753</v>
      </c>
      <c r="K16" s="145">
        <f t="shared" si="1"/>
        <v>0.6218905472636818</v>
      </c>
      <c r="M16" s="160">
        <f>libor+O16/10000</f>
        <v>0.0928</v>
      </c>
      <c r="O16" s="165">
        <f>M140*10000</f>
        <v>650</v>
      </c>
      <c r="Q16" s="169">
        <f t="shared" si="4"/>
        <v>0</v>
      </c>
      <c r="W16" s="26" t="s">
        <v>148</v>
      </c>
      <c r="Y16" s="26" t="s">
        <v>149</v>
      </c>
      <c r="AA16" t="s">
        <v>144</v>
      </c>
      <c r="AC16" s="10"/>
      <c r="AD16" s="10"/>
      <c r="AE16" s="10"/>
      <c r="AF16" s="10"/>
      <c r="AG16" s="10"/>
      <c r="AH16" s="10"/>
      <c r="AI16" s="176">
        <f>Y11</f>
        <v>562.9861275</v>
      </c>
      <c r="AK16" s="20" t="s">
        <v>129</v>
      </c>
      <c r="AL16" s="21"/>
      <c r="AM16" s="20"/>
      <c r="AN16" s="21"/>
      <c r="AO16" s="21"/>
      <c r="AP16" s="21"/>
      <c r="AQ16" s="21"/>
    </row>
    <row r="17" spans="3:43" ht="13.5" customHeight="1" thickBot="1">
      <c r="C17" t="str">
        <f t="shared" si="2"/>
        <v>Subordinated Note</v>
      </c>
      <c r="G17" s="37">
        <f t="shared" si="3"/>
        <v>0</v>
      </c>
      <c r="I17" s="33">
        <f t="shared" si="5"/>
        <v>0</v>
      </c>
      <c r="K17" s="145">
        <f t="shared" si="1"/>
        <v>0</v>
      </c>
      <c r="M17" s="160">
        <f>O141</f>
        <v>0.1025</v>
      </c>
      <c r="Q17" s="169">
        <f t="shared" si="4"/>
        <v>5</v>
      </c>
      <c r="S17" t="s">
        <v>150</v>
      </c>
      <c r="W17" s="121">
        <f>M50</f>
        <v>420.4</v>
      </c>
      <c r="Y17" s="123">
        <f>$Y$13/W17</f>
        <v>1.53753598358706</v>
      </c>
      <c r="AA17" t="s">
        <v>269</v>
      </c>
      <c r="AC17" s="10"/>
      <c r="AD17" s="10"/>
      <c r="AE17" s="10"/>
      <c r="AF17" s="10"/>
      <c r="AG17" s="10"/>
      <c r="AH17" s="10"/>
      <c r="AI17" s="54">
        <v>0</v>
      </c>
      <c r="AO17" s="111" t="s">
        <v>130</v>
      </c>
      <c r="AQ17" s="111" t="s">
        <v>131</v>
      </c>
    </row>
    <row r="18" spans="3:43" ht="13.5" customHeight="1" thickBot="1">
      <c r="C18" t="str">
        <f t="shared" si="2"/>
        <v>Mezzanine</v>
      </c>
      <c r="G18" s="37">
        <f t="shared" si="3"/>
        <v>0</v>
      </c>
      <c r="I18" s="33">
        <f t="shared" si="5"/>
        <v>0</v>
      </c>
      <c r="K18" s="145">
        <f t="shared" si="1"/>
        <v>0</v>
      </c>
      <c r="M18" s="160">
        <f>O142</f>
        <v>0.105</v>
      </c>
      <c r="Q18" s="169">
        <f t="shared" si="4"/>
        <v>0</v>
      </c>
      <c r="S18" s="124" t="str">
        <f>"FY "&amp;Q48&amp;" PF Sales"</f>
        <v>FY 2008 PF Sales</v>
      </c>
      <c r="W18" s="122">
        <f>Q50</f>
        <v>458.09999999999997</v>
      </c>
      <c r="Y18" s="123">
        <f>$Y$13/W18</f>
        <v>1.4110022429600524</v>
      </c>
      <c r="AA18" t="s">
        <v>270</v>
      </c>
      <c r="AI18" s="122">
        <f>-I111*LBO</f>
        <v>-97.8530000000001</v>
      </c>
      <c r="AK18" t="s">
        <v>132</v>
      </c>
      <c r="AL18" s="10"/>
      <c r="AM18" s="10"/>
      <c r="AN18" s="10"/>
      <c r="AO18" s="77">
        <v>230</v>
      </c>
      <c r="AQ18" s="77">
        <v>0</v>
      </c>
    </row>
    <row r="19" spans="3:43" ht="13.5" customHeight="1">
      <c r="C19" t="str">
        <f t="shared" si="2"/>
        <v>Seller Note</v>
      </c>
      <c r="G19" s="37">
        <f t="shared" si="3"/>
        <v>0</v>
      </c>
      <c r="I19" s="33">
        <f t="shared" si="5"/>
        <v>0</v>
      </c>
      <c r="K19" s="145">
        <f t="shared" si="1"/>
        <v>0</v>
      </c>
      <c r="M19" s="160">
        <f>O143</f>
        <v>0.105</v>
      </c>
      <c r="Q19" s="169">
        <f t="shared" si="4"/>
        <v>2</v>
      </c>
      <c r="S19" s="124" t="str">
        <f>"FY "&amp;S48&amp;" PF Sales"</f>
        <v>FY 2009 PF Sales</v>
      </c>
      <c r="W19" s="122">
        <f>S50</f>
        <v>467.99999999999994</v>
      </c>
      <c r="Y19" s="123">
        <f>$Y$13/W19</f>
        <v>1.3811541185897436</v>
      </c>
      <c r="AA19" s="120" t="s">
        <v>271</v>
      </c>
      <c r="AI19" s="92">
        <f>SUM(AI16:AI18)</f>
        <v>465.1331274999999</v>
      </c>
      <c r="AK19" t="s">
        <v>133</v>
      </c>
      <c r="AO19" s="114">
        <v>26.77</v>
      </c>
      <c r="AQ19" s="115" t="s">
        <v>24</v>
      </c>
    </row>
    <row r="20" spans="2:43" ht="13.5" customHeight="1">
      <c r="B20" t="s">
        <v>234</v>
      </c>
      <c r="I20" s="19"/>
      <c r="AA20" t="s">
        <v>272</v>
      </c>
      <c r="AK20" t="s">
        <v>134</v>
      </c>
      <c r="AO20" s="112">
        <f>IF(ISERROR(AO18/AO19),0,AO18/AO19)</f>
        <v>8.591707134852447</v>
      </c>
      <c r="AQ20" s="112">
        <f>IF(ISERROR(AQ18/AQ19),0,AQ18/AQ19)</f>
        <v>0</v>
      </c>
    </row>
    <row r="21" spans="3:43" ht="12.75">
      <c r="C21" t="str">
        <f>B295</f>
        <v>Preferred Stock - A</v>
      </c>
      <c r="G21" s="37">
        <f>S295</f>
        <v>10</v>
      </c>
      <c r="I21" s="33">
        <f t="shared" si="5"/>
        <v>0.01226628966004767</v>
      </c>
      <c r="K21" s="145">
        <f>G21/ltm_ebitda</f>
        <v>0.08291873963515757</v>
      </c>
      <c r="M21" s="160">
        <f>O144</f>
        <v>0.14</v>
      </c>
      <c r="Q21" s="170">
        <v>3</v>
      </c>
      <c r="S21" t="s">
        <v>151</v>
      </c>
      <c r="W21" s="121">
        <f>ltm_ebitda</f>
        <v>120.59999999999997</v>
      </c>
      <c r="Y21" s="125">
        <f>$Y$13/W21</f>
        <v>5.359702549751245</v>
      </c>
      <c r="AA21" s="120" t="s">
        <v>264</v>
      </c>
      <c r="AG21" s="76">
        <f>AI8</f>
        <v>15</v>
      </c>
      <c r="AK21" t="s">
        <v>135</v>
      </c>
      <c r="AO21" s="116">
        <v>0.025</v>
      </c>
      <c r="AQ21" s="116">
        <v>0</v>
      </c>
    </row>
    <row r="22" spans="3:33" ht="12.75">
      <c r="C22" t="str">
        <f>B296</f>
        <v>Preferred Stock - B</v>
      </c>
      <c r="G22" s="37">
        <f>S296</f>
        <v>0</v>
      </c>
      <c r="I22" s="33">
        <f t="shared" si="5"/>
        <v>0</v>
      </c>
      <c r="K22" s="145">
        <f>G22/ltm_ebitda</f>
        <v>0</v>
      </c>
      <c r="M22" s="160">
        <f>O145</f>
        <v>0.1425</v>
      </c>
      <c r="Q22" s="170">
        <v>3</v>
      </c>
      <c r="S22" s="124" t="str">
        <f>"FY "&amp;Q48&amp;" PF EBITDA"</f>
        <v>FY 2008 PF EBITDA</v>
      </c>
      <c r="W22" s="122">
        <f>Q60</f>
        <v>130.2</v>
      </c>
      <c r="Y22" s="125">
        <f>$Y$13/W22</f>
        <v>4.964517108294931</v>
      </c>
      <c r="AA22" s="120" t="s">
        <v>273</v>
      </c>
      <c r="AG22" s="37">
        <f>AI6*AI19</f>
        <v>116.28328187499997</v>
      </c>
    </row>
    <row r="23" spans="2:43" ht="13.5" thickBot="1">
      <c r="B23" t="s">
        <v>235</v>
      </c>
      <c r="I23" s="19"/>
      <c r="S23" s="124" t="str">
        <f>"FY "&amp;S48&amp;" PF EBITDA"</f>
        <v>FY 2009 PF EBITDA</v>
      </c>
      <c r="W23" s="122">
        <f>S60</f>
        <v>156.5</v>
      </c>
      <c r="Y23" s="125">
        <f>$Y$13/W23</f>
        <v>4.130224456869009</v>
      </c>
      <c r="AA23" s="120" t="s">
        <v>274</v>
      </c>
      <c r="AG23" s="37">
        <f>-I82</f>
        <v>-61.094</v>
      </c>
      <c r="AK23" s="20" t="s">
        <v>136</v>
      </c>
      <c r="AL23" s="21"/>
      <c r="AM23" s="20"/>
      <c r="AN23" s="21"/>
      <c r="AO23" s="21"/>
      <c r="AP23" s="21"/>
      <c r="AQ23" s="21"/>
    </row>
    <row r="24" spans="3:43" ht="12.75">
      <c r="C24" t="str">
        <f>B297</f>
        <v>Common - Sponsor</v>
      </c>
      <c r="G24" s="37">
        <f>S297</f>
        <v>233.6364471574999</v>
      </c>
      <c r="I24" s="33">
        <f t="shared" si="5"/>
        <v>0.2865852335978315</v>
      </c>
      <c r="K24" s="145">
        <f>G24/ltm_ebitda</f>
        <v>1.9372839731135985</v>
      </c>
      <c r="M24" s="4" t="s">
        <v>152</v>
      </c>
      <c r="N24" s="126"/>
      <c r="O24" s="126"/>
      <c r="P24" s="126"/>
      <c r="Q24" s="126"/>
      <c r="AA24" s="120" t="s">
        <v>275</v>
      </c>
      <c r="AG24" s="37">
        <f>I96</f>
        <v>0</v>
      </c>
      <c r="AK24" t="s">
        <v>137</v>
      </c>
      <c r="AQ24" s="71">
        <v>34.922</v>
      </c>
    </row>
    <row r="25" spans="3:43" ht="13.5" thickBot="1">
      <c r="C25" t="str">
        <f>B298</f>
        <v>Management Rollover</v>
      </c>
      <c r="G25" s="37">
        <f>S298</f>
        <v>0</v>
      </c>
      <c r="I25" s="33">
        <f t="shared" si="5"/>
        <v>0</v>
      </c>
      <c r="K25" s="145">
        <f>G25/ltm_ebitda</f>
        <v>0</v>
      </c>
      <c r="S25" s="4" t="s">
        <v>60</v>
      </c>
      <c r="T25" s="4"/>
      <c r="U25" s="4"/>
      <c r="V25" s="4"/>
      <c r="W25" s="4"/>
      <c r="X25" s="4"/>
      <c r="Y25" s="4"/>
      <c r="AA25" s="120" t="s">
        <v>276</v>
      </c>
      <c r="AG25" s="37">
        <f>-SUM(AG21:AG22)*tax_rate*(1-AI12)</f>
        <v>-45.94914865624999</v>
      </c>
      <c r="AI25" s="76">
        <f>-SUM(AG21:AG25)</f>
        <v>-24.24013321874999</v>
      </c>
      <c r="AK25" t="s">
        <v>138</v>
      </c>
      <c r="AQ25" s="117">
        <f>SUM(AQ5:AQ14)</f>
        <v>0.2371648711943794</v>
      </c>
    </row>
    <row r="26" spans="3:43" ht="13.5" thickBot="1">
      <c r="C26" t="str">
        <f>B299</f>
        <v>Investor Rollover</v>
      </c>
      <c r="G26" s="37">
        <f>S299</f>
        <v>0</v>
      </c>
      <c r="I26" s="33">
        <f t="shared" si="5"/>
        <v>0</v>
      </c>
      <c r="K26" s="145">
        <f>G26/ltm_ebitda</f>
        <v>0</v>
      </c>
      <c r="M26" t="s">
        <v>153</v>
      </c>
      <c r="Q26" s="127">
        <v>0.0278</v>
      </c>
      <c r="AA26" s="128" t="s">
        <v>277</v>
      </c>
      <c r="AI26" s="106">
        <f>AI25+AI19</f>
        <v>440.8929942812499</v>
      </c>
      <c r="AK26" t="s">
        <v>139</v>
      </c>
      <c r="AQ26" s="117">
        <f>IF(AO19&gt;trans_price,0,AO20)+IF(AQ19&gt;trans_price,0,AQ20)</f>
        <v>0</v>
      </c>
    </row>
    <row r="27" spans="3:43" ht="14.25" thickBot="1" thickTop="1">
      <c r="C27" t="str">
        <f>B300</f>
        <v>Other</v>
      </c>
      <c r="G27" s="37">
        <f>S300</f>
        <v>0</v>
      </c>
      <c r="I27" s="33">
        <f t="shared" si="5"/>
        <v>0</v>
      </c>
      <c r="K27" s="145">
        <f>G27/ltm_ebitda</f>
        <v>0</v>
      </c>
      <c r="M27" t="s">
        <v>154</v>
      </c>
      <c r="Q27" s="127">
        <v>0.045</v>
      </c>
      <c r="S27" t="str">
        <f>"Operating Case: "&amp;B253</f>
        <v>Operating Case: Analyst Case</v>
      </c>
      <c r="Y27" s="89">
        <v>2</v>
      </c>
      <c r="AK27" s="120" t="s">
        <v>136</v>
      </c>
      <c r="AQ27" s="118">
        <f>SUM(AQ24:AQ26)</f>
        <v>35.15916487119438</v>
      </c>
    </row>
    <row r="28" spans="2:35" ht="13.5" thickBot="1">
      <c r="B28" s="10" t="s">
        <v>205</v>
      </c>
      <c r="G28" s="106">
        <f>SUM(G9:G27)</f>
        <v>815.2424471574999</v>
      </c>
      <c r="H28" s="10"/>
      <c r="I28" s="155">
        <f>SUM(I9:I27)</f>
        <v>1</v>
      </c>
      <c r="J28" s="10"/>
      <c r="K28" s="156">
        <f>SUM(K9:K27)</f>
        <v>6.759887621538144</v>
      </c>
      <c r="M28" t="s">
        <v>155</v>
      </c>
      <c r="Q28" s="127">
        <v>0.02</v>
      </c>
      <c r="AA28" s="4" t="s">
        <v>13</v>
      </c>
      <c r="AB28" s="4"/>
      <c r="AC28" s="4"/>
      <c r="AD28" s="4"/>
      <c r="AE28" s="4"/>
      <c r="AF28" s="4"/>
      <c r="AG28" s="4"/>
      <c r="AH28" s="4"/>
      <c r="AI28" s="4"/>
    </row>
    <row r="29" spans="13:43" ht="14.25" thickBot="1" thickTop="1">
      <c r="M29" t="s">
        <v>247</v>
      </c>
      <c r="Q29" s="129">
        <v>1</v>
      </c>
      <c r="S29" t="s">
        <v>61</v>
      </c>
      <c r="Y29" s="77">
        <v>10</v>
      </c>
      <c r="AK29" s="20" t="s">
        <v>140</v>
      </c>
      <c r="AL29" s="21"/>
      <c r="AM29" s="21"/>
      <c r="AN29" s="21"/>
      <c r="AO29" s="21"/>
      <c r="AP29" s="21"/>
      <c r="AQ29" s="21"/>
    </row>
    <row r="30" spans="1:43" ht="13.5" thickBot="1">
      <c r="A30" s="83" t="s">
        <v>211</v>
      </c>
      <c r="B30" s="83"/>
      <c r="S30" t="s">
        <v>62</v>
      </c>
      <c r="Y30" s="91">
        <v>20</v>
      </c>
      <c r="AA30" t="s">
        <v>14</v>
      </c>
      <c r="AI30" s="15" t="s">
        <v>15</v>
      </c>
      <c r="AK30" s="24" t="s">
        <v>141</v>
      </c>
      <c r="AL30" s="10"/>
      <c r="AM30" s="10"/>
      <c r="AQ30" s="77">
        <v>0</v>
      </c>
    </row>
    <row r="31" spans="2:43" ht="12.75">
      <c r="B31" t="s">
        <v>144</v>
      </c>
      <c r="M31" s="4" t="s">
        <v>156</v>
      </c>
      <c r="N31" s="126"/>
      <c r="O31" s="126"/>
      <c r="P31" s="126"/>
      <c r="Q31" s="126"/>
      <c r="T31" t="s">
        <v>63</v>
      </c>
      <c r="Y31" s="92">
        <f>SUM(Y29:Y30)</f>
        <v>30</v>
      </c>
      <c r="AA31" t="s">
        <v>16</v>
      </c>
      <c r="AG31" s="6"/>
      <c r="AH31" s="6"/>
      <c r="AI31" s="15" t="s">
        <v>19</v>
      </c>
      <c r="AK31" t="s">
        <v>129</v>
      </c>
      <c r="AQ31" s="119">
        <f>IF(AO19&gt;trans_price,AO18,0)+IF(AQ19&gt;trans_price,AQ18,0)</f>
        <v>230</v>
      </c>
    </row>
    <row r="32" spans="3:43" ht="12.75">
      <c r="C32" t="s">
        <v>217</v>
      </c>
      <c r="G32" s="76">
        <f>S304</f>
        <v>562.9861275</v>
      </c>
      <c r="I32" s="33">
        <f>G32/$G$42</f>
        <v>0.6905750914503528</v>
      </c>
      <c r="K32" s="145">
        <f>G32/ltm_ebitda</f>
        <v>4.668210012437812</v>
      </c>
      <c r="AI32" s="15" t="s">
        <v>20</v>
      </c>
      <c r="AK32" t="s">
        <v>39</v>
      </c>
      <c r="AQ32" s="54">
        <v>0</v>
      </c>
    </row>
    <row r="33" spans="3:43" ht="13.5" thickBot="1">
      <c r="C33" t="s">
        <v>210</v>
      </c>
      <c r="G33" s="37">
        <f>S305</f>
        <v>0</v>
      </c>
      <c r="I33" s="33">
        <f>G33/$G$42</f>
        <v>0</v>
      </c>
      <c r="K33" s="145">
        <f>G33/ltm_ebitda</f>
        <v>0</v>
      </c>
      <c r="M33" s="128" t="s">
        <v>157</v>
      </c>
      <c r="Q33" s="129">
        <v>0</v>
      </c>
      <c r="S33" s="4" t="s">
        <v>5</v>
      </c>
      <c r="T33" s="4"/>
      <c r="U33" s="4"/>
      <c r="V33" s="4"/>
      <c r="W33" s="4"/>
      <c r="X33" s="4"/>
      <c r="Y33" s="4"/>
      <c r="AA33" t="s">
        <v>17</v>
      </c>
      <c r="AG33" s="16">
        <f ca="1">NOW()</f>
        <v>39980.801113773145</v>
      </c>
      <c r="AI33" s="17">
        <f ca="1">NOW()</f>
        <v>39980.801113773145</v>
      </c>
      <c r="AK33" t="s">
        <v>142</v>
      </c>
      <c r="AQ33" s="119">
        <f>-I69</f>
        <v>-146.606</v>
      </c>
    </row>
    <row r="34" spans="2:43" ht="12.75">
      <c r="B34" t="s">
        <v>236</v>
      </c>
      <c r="AA34" t="s">
        <v>18</v>
      </c>
      <c r="AC34" s="80" t="str">
        <f ca="1">CELL("filename")</f>
        <v>C:\Documents and Settings\Administrator\My Documents\LBO\[capex.xls]LBO</v>
      </c>
      <c r="AD34" s="80"/>
      <c r="AG34" s="10"/>
      <c r="AH34" s="10"/>
      <c r="AI34" s="10"/>
      <c r="AK34" s="120" t="s">
        <v>140</v>
      </c>
      <c r="AQ34" s="92">
        <f>SUM(AQ30:AQ33)</f>
        <v>83.394</v>
      </c>
    </row>
    <row r="35" spans="3:25" ht="12.75">
      <c r="C35" t="s">
        <v>218</v>
      </c>
      <c r="G35" s="37">
        <f>S306</f>
        <v>0</v>
      </c>
      <c r="I35" s="33">
        <f aca="true" t="shared" si="6" ref="I35:I41">G35/$G$42</f>
        <v>0</v>
      </c>
      <c r="K35" s="145">
        <f aca="true" t="shared" si="7" ref="K35:K41">G35/ltm_ebitda</f>
        <v>0</v>
      </c>
      <c r="M35" s="4" t="s">
        <v>158</v>
      </c>
      <c r="N35" s="126"/>
      <c r="O35" s="126"/>
      <c r="P35" s="126"/>
      <c r="Q35" s="126"/>
      <c r="S35" s="8" t="s">
        <v>6</v>
      </c>
      <c r="Y35" s="13">
        <v>39355</v>
      </c>
    </row>
    <row r="36" spans="3:25" ht="12.75">
      <c r="C36" t="s">
        <v>219</v>
      </c>
      <c r="G36" s="37">
        <f>S307</f>
        <v>230</v>
      </c>
      <c r="I36" s="33">
        <f t="shared" si="6"/>
        <v>0.2821246621810964</v>
      </c>
      <c r="K36" s="145">
        <f t="shared" si="7"/>
        <v>1.9071310116086242</v>
      </c>
      <c r="S36" s="8" t="s">
        <v>7</v>
      </c>
      <c r="Y36" s="13">
        <v>39538</v>
      </c>
    </row>
    <row r="37" spans="3:25" ht="12.75">
      <c r="C37" t="s">
        <v>212</v>
      </c>
      <c r="G37" s="37">
        <f>S308</f>
        <v>0</v>
      </c>
      <c r="I37" s="33">
        <f t="shared" si="6"/>
        <v>0</v>
      </c>
      <c r="K37" s="145">
        <f t="shared" si="7"/>
        <v>0</v>
      </c>
      <c r="M37" s="128" t="s">
        <v>159</v>
      </c>
      <c r="Q37" s="77">
        <v>30</v>
      </c>
      <c r="S37" s="8" t="s">
        <v>8</v>
      </c>
      <c r="Y37" s="13">
        <v>39585</v>
      </c>
    </row>
    <row r="38" spans="3:25" ht="12.75">
      <c r="C38" t="s">
        <v>238</v>
      </c>
      <c r="G38" s="37">
        <f>S310</f>
        <v>0</v>
      </c>
      <c r="I38" s="33">
        <f t="shared" si="6"/>
        <v>0</v>
      </c>
      <c r="K38" s="145">
        <f t="shared" si="7"/>
        <v>0</v>
      </c>
      <c r="M38" s="128" t="s">
        <v>160</v>
      </c>
      <c r="Q38" s="77">
        <v>100</v>
      </c>
      <c r="S38" s="8" t="s">
        <v>9</v>
      </c>
      <c r="Y38" s="13">
        <v>39660</v>
      </c>
    </row>
    <row r="39" spans="3:25" ht="12.75">
      <c r="C39" t="s">
        <v>239</v>
      </c>
      <c r="G39" s="37">
        <f>S311</f>
        <v>0</v>
      </c>
      <c r="I39" s="33">
        <f t="shared" si="6"/>
        <v>0</v>
      </c>
      <c r="K39" s="145">
        <f t="shared" si="7"/>
        <v>0</v>
      </c>
      <c r="S39" s="8" t="s">
        <v>10</v>
      </c>
      <c r="Y39" s="14">
        <f>ROUND((MONTH(Y36)-MONTH(Y35)+12*(YEAR(Y36)-YEAR(Y35))),0)</f>
        <v>6</v>
      </c>
    </row>
    <row r="40" spans="3:25" ht="12.75">
      <c r="C40" t="s">
        <v>237</v>
      </c>
      <c r="G40" s="37">
        <f>SUM(S312:S313)</f>
        <v>22.2563196575</v>
      </c>
      <c r="I40" s="33">
        <f t="shared" si="6"/>
        <v>0.02730024636855079</v>
      </c>
      <c r="K40" s="145">
        <f t="shared" si="7"/>
        <v>0.18454659749170818</v>
      </c>
      <c r="M40" s="4" t="s">
        <v>161</v>
      </c>
      <c r="N40" s="126"/>
      <c r="O40" s="126"/>
      <c r="P40" s="126"/>
      <c r="Q40" s="126"/>
      <c r="S40" s="8" t="s">
        <v>11</v>
      </c>
      <c r="Y40" s="14">
        <f>ROUND((MONTH(Y35)-MONTH(Y38)+12*(YEAR(Y35)+1-YEAR(Y38))),0)</f>
        <v>2</v>
      </c>
    </row>
    <row r="41" spans="3:25" ht="13.5" thickBot="1">
      <c r="C41" t="s">
        <v>66</v>
      </c>
      <c r="G41" s="37">
        <f>S314</f>
        <v>0</v>
      </c>
      <c r="I41" s="33">
        <f t="shared" si="6"/>
        <v>0</v>
      </c>
      <c r="K41" s="145">
        <f t="shared" si="7"/>
        <v>0</v>
      </c>
      <c r="S41" s="157" t="s">
        <v>12</v>
      </c>
      <c r="Y41" s="12">
        <f>Y40/12</f>
        <v>0.16666666666666666</v>
      </c>
    </row>
    <row r="42" spans="2:17" ht="13.5" thickBot="1">
      <c r="B42" s="10" t="s">
        <v>215</v>
      </c>
      <c r="G42" s="106">
        <f>SUM(G32:G41)</f>
        <v>815.2424471575</v>
      </c>
      <c r="H42" s="10"/>
      <c r="I42" s="155">
        <f>SUM(I32:I41)</f>
        <v>1</v>
      </c>
      <c r="J42" s="10"/>
      <c r="K42" s="156">
        <f>SUM(K32:K41)</f>
        <v>6.759887621538144</v>
      </c>
      <c r="M42" t="s">
        <v>162</v>
      </c>
      <c r="Q42" s="89">
        <v>4</v>
      </c>
    </row>
    <row r="43" ht="13.5" thickTop="1"/>
    <row r="44" spans="1:39" ht="13.5" customHeight="1" thickBot="1">
      <c r="A44" s="4" t="s">
        <v>64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K44" s="20" t="s">
        <v>67</v>
      </c>
      <c r="AL44" s="20"/>
      <c r="AM44" s="20"/>
    </row>
    <row r="45" spans="1:39" ht="12.75">
      <c r="A45" s="3" t="str">
        <f>$A$2</f>
        <v>($ in millions, except per share data)</v>
      </c>
      <c r="AK45" s="22" t="str">
        <f>Y39&amp;" Mos."</f>
        <v>6 Mos.</v>
      </c>
      <c r="AM45" s="22" t="str">
        <f>AK45</f>
        <v>6 Mos.</v>
      </c>
    </row>
    <row r="46" spans="13:39" ht="13.5" thickBot="1">
      <c r="M46" s="22" t="s">
        <v>69</v>
      </c>
      <c r="O46" s="22" t="str">
        <f>Y40&amp;" Mos."</f>
        <v>2 Mos.</v>
      </c>
      <c r="Q46" s="20" t="str">
        <f>Q245</f>
        <v>Projected Fiscal Years Ending September 30,</v>
      </c>
      <c r="R46" s="20"/>
      <c r="S46" s="20"/>
      <c r="T46" s="20"/>
      <c r="U46" s="20"/>
      <c r="V46" s="20"/>
      <c r="W46" s="20"/>
      <c r="X46" s="20"/>
      <c r="Y46" s="20"/>
      <c r="Z46" s="20"/>
      <c r="AA46" s="20"/>
      <c r="AB46" s="20"/>
      <c r="AC46" s="20"/>
      <c r="AD46" s="20"/>
      <c r="AE46" s="20"/>
      <c r="AF46" s="20"/>
      <c r="AG46" s="20"/>
      <c r="AH46" s="20"/>
      <c r="AI46" s="20"/>
      <c r="AK46" s="22" t="s">
        <v>68</v>
      </c>
      <c r="AM46" s="22" t="str">
        <f>AK46</f>
        <v>Ended</v>
      </c>
    </row>
    <row r="47" spans="11:39" ht="12.75">
      <c r="K47" s="81">
        <f>Q47-1</f>
        <v>0</v>
      </c>
      <c r="M47" s="22" t="s">
        <v>68</v>
      </c>
      <c r="O47" s="22" t="s">
        <v>240</v>
      </c>
      <c r="Q47" s="81">
        <f>Q246</f>
        <v>1</v>
      </c>
      <c r="S47" s="81">
        <f>S246</f>
        <v>2</v>
      </c>
      <c r="U47" s="81">
        <f>U246</f>
        <v>3</v>
      </c>
      <c r="W47" s="81">
        <f>W246</f>
        <v>4</v>
      </c>
      <c r="Y47" s="81">
        <f>Y246</f>
        <v>5</v>
      </c>
      <c r="AA47" s="81">
        <f>AA246</f>
        <v>6</v>
      </c>
      <c r="AC47" s="81">
        <f>AC246</f>
        <v>7</v>
      </c>
      <c r="AE47" s="81">
        <f>AE246</f>
        <v>8</v>
      </c>
      <c r="AG47" s="81">
        <f>AG246</f>
        <v>9</v>
      </c>
      <c r="AI47" s="81">
        <f>AI246</f>
        <v>10</v>
      </c>
      <c r="AK47" s="22" t="str">
        <f>TEXT(ltm_date,"mmm d")</f>
        <v>Mar 31</v>
      </c>
      <c r="AL47" s="6"/>
      <c r="AM47" s="22" t="str">
        <f>AK47</f>
        <v>Mar 31</v>
      </c>
    </row>
    <row r="48" spans="11:39" ht="13.5" thickBot="1">
      <c r="K48" s="82">
        <f>Q48-1</f>
        <v>2007</v>
      </c>
      <c r="M48" s="99">
        <f>ltm_date</f>
        <v>39538</v>
      </c>
      <c r="O48" s="97" t="str">
        <f>MONTH(fye)&amp;"/"&amp;DAY(fye)&amp;"/"&amp;YEAR(fye)+1</f>
        <v>9/30/2008</v>
      </c>
      <c r="Q48" s="82">
        <f>Q247</f>
        <v>2008</v>
      </c>
      <c r="S48" s="82">
        <f>S247</f>
        <v>2009</v>
      </c>
      <c r="U48" s="82">
        <f>U247</f>
        <v>2010</v>
      </c>
      <c r="W48" s="82">
        <f>W247</f>
        <v>2011</v>
      </c>
      <c r="Y48" s="82">
        <f>Y247</f>
        <v>2012</v>
      </c>
      <c r="AA48" s="82">
        <f>AA247</f>
        <v>2013</v>
      </c>
      <c r="AC48" s="82">
        <f>AC247</f>
        <v>2014</v>
      </c>
      <c r="AE48" s="82">
        <f>AE247</f>
        <v>2015</v>
      </c>
      <c r="AG48" s="82">
        <f>AG247</f>
        <v>2016</v>
      </c>
      <c r="AI48" s="82">
        <f>AI247</f>
        <v>2017</v>
      </c>
      <c r="AK48" s="97">
        <f>AM48-1</f>
        <v>2007</v>
      </c>
      <c r="AM48" s="97" t="str">
        <f>TEXT(ltm_date,"YYYY")</f>
        <v>2008</v>
      </c>
    </row>
    <row r="50" spans="1:39" ht="12.75">
      <c r="A50" s="10" t="s">
        <v>65</v>
      </c>
      <c r="B50" s="10"/>
      <c r="K50" s="93">
        <f>'Target P&amp;L'!K7</f>
        <v>402.5</v>
      </c>
      <c r="M50" s="30">
        <f>K50+AM50-AK50</f>
        <v>420.4</v>
      </c>
      <c r="O50" s="30">
        <f>Q50*stub</f>
        <v>76.35</v>
      </c>
      <c r="Q50" s="30">
        <f>K50*(1+Q51)</f>
        <v>458.09999999999997</v>
      </c>
      <c r="S50" s="30">
        <f>Q50*(1+S51)</f>
        <v>467.99999999999994</v>
      </c>
      <c r="U50" s="30">
        <f>S50*(1+U51)</f>
        <v>470.49999999999994</v>
      </c>
      <c r="W50" s="30">
        <f>U50*(1+W51)</f>
        <v>475.2049999999999</v>
      </c>
      <c r="Y50" s="30">
        <f>W50*(1+Y51)</f>
        <v>479.9570499999999</v>
      </c>
      <c r="AA50" s="30">
        <f>Y50*(1+AA51)</f>
        <v>484.75662049999994</v>
      </c>
      <c r="AC50" s="30">
        <f>AA50*(1+AC51)</f>
        <v>489.60418670499996</v>
      </c>
      <c r="AE50" s="30">
        <f>AC50*(1+AE51)</f>
        <v>494.50022857205</v>
      </c>
      <c r="AG50" s="30">
        <f>AE50*(1+AG51)</f>
        <v>499.44523085777047</v>
      </c>
      <c r="AI50" s="30">
        <f>AG50*(1+AI51)</f>
        <v>504.4396831663482</v>
      </c>
      <c r="AK50" s="31">
        <v>197.4</v>
      </c>
      <c r="AL50" s="10"/>
      <c r="AM50" s="31">
        <v>215.3</v>
      </c>
    </row>
    <row r="51" spans="1:39" ht="12.75">
      <c r="A51" s="19"/>
      <c r="B51" s="19" t="s">
        <v>23</v>
      </c>
      <c r="K51" s="85">
        <f>'Target P&amp;L'!I8</f>
        <v>0.026968716289104577</v>
      </c>
      <c r="M51" s="98" t="s">
        <v>24</v>
      </c>
      <c r="O51" s="98" t="s">
        <v>24</v>
      </c>
      <c r="Q51" s="67">
        <f>Q253</f>
        <v>0.1381366459627329</v>
      </c>
      <c r="S51" s="67">
        <f>S253</f>
        <v>0.0216110019646365</v>
      </c>
      <c r="U51" s="67">
        <f>U253</f>
        <v>0.005341880341880323</v>
      </c>
      <c r="W51" s="67">
        <f>W253</f>
        <v>0.01</v>
      </c>
      <c r="Y51" s="67">
        <f>Y253</f>
        <v>0.01</v>
      </c>
      <c r="AA51" s="67">
        <f>AA253</f>
        <v>0.01</v>
      </c>
      <c r="AC51" s="67">
        <f>AC253</f>
        <v>0.01</v>
      </c>
      <c r="AE51" s="67">
        <f>AE253</f>
        <v>0.01</v>
      </c>
      <c r="AG51" s="67">
        <f>AG253</f>
        <v>0.01</v>
      </c>
      <c r="AI51" s="67">
        <f>AI253</f>
        <v>0.01</v>
      </c>
      <c r="AK51" s="98" t="s">
        <v>24</v>
      </c>
      <c r="AM51" s="33">
        <f>AM50/AK50-1</f>
        <v>0.0906788247213779</v>
      </c>
    </row>
    <row r="52" spans="1:2" ht="4.5" customHeight="1">
      <c r="A52" s="19"/>
      <c r="B52" s="19"/>
    </row>
    <row r="53" spans="1:39" ht="12.75">
      <c r="A53" t="s">
        <v>25</v>
      </c>
      <c r="K53" s="96">
        <f>'Target P&amp;L'!K10</f>
        <v>207.7</v>
      </c>
      <c r="M53" s="94">
        <f>K53+AM53-AK53</f>
        <v>219.3</v>
      </c>
      <c r="O53" s="94">
        <f>Q53*stub</f>
        <v>39.93333333333333</v>
      </c>
      <c r="Q53" s="94">
        <f>Q54*Q$50</f>
        <v>239.6</v>
      </c>
      <c r="S53" s="94">
        <f>S54*S$50</f>
        <v>239.79999999999995</v>
      </c>
      <c r="U53" s="94">
        <f>U54*U$50</f>
        <v>242.19999999999993</v>
      </c>
      <c r="W53" s="94">
        <f>W54*W$50</f>
        <v>244.72199999999995</v>
      </c>
      <c r="Y53" s="94">
        <f>Y54*Y$50</f>
        <v>247.26921999999996</v>
      </c>
      <c r="AA53" s="94">
        <f>AA54*AA$50</f>
        <v>249.84191219999994</v>
      </c>
      <c r="AC53" s="94">
        <f>AC54*AC$50</f>
        <v>252.44033132199996</v>
      </c>
      <c r="AE53" s="94">
        <f>AE54*AE$50</f>
        <v>255.06473463521996</v>
      </c>
      <c r="AG53" s="94">
        <f>AG54*AG$50</f>
        <v>257.71538198157214</v>
      </c>
      <c r="AI53" s="94">
        <f>AI54*AI$50</f>
        <v>260.3925358013879</v>
      </c>
      <c r="AK53" s="38">
        <v>100.8</v>
      </c>
      <c r="AM53" s="38">
        <v>112.4</v>
      </c>
    </row>
    <row r="54" spans="1:39" ht="12.75">
      <c r="A54" s="67"/>
      <c r="B54" s="67" t="s">
        <v>26</v>
      </c>
      <c r="K54" s="67">
        <f>K53/K$50</f>
        <v>0.5160248447204968</v>
      </c>
      <c r="M54" s="67">
        <f>M53/M$50</f>
        <v>0.5216460513796385</v>
      </c>
      <c r="O54" s="67">
        <f>O53/O$50</f>
        <v>0.5230299061340319</v>
      </c>
      <c r="Q54" s="67">
        <f>Q260</f>
        <v>0.5230299061340319</v>
      </c>
      <c r="S54" s="67">
        <f>(S260*S50-$Y$29)/S50</f>
        <v>0.5123931623931623</v>
      </c>
      <c r="U54" s="67">
        <f>(U260*U50-$Y$29)/U50</f>
        <v>0.5147715196599362</v>
      </c>
      <c r="W54" s="67">
        <f>(W260*W50-$Y$29)/W50</f>
        <v>0.5149819551561957</v>
      </c>
      <c r="Y54" s="67">
        <f>(Y260*Y50-$Y$29)/Y50</f>
        <v>0.5151903071326903</v>
      </c>
      <c r="AA54" s="67">
        <f>(AA260*AA50-$Y$29)/AA50</f>
        <v>0.5153965962183285</v>
      </c>
      <c r="AC54" s="67">
        <f>(AC260*AC50-$Y$29)/AC50</f>
        <v>0.5156008428377722</v>
      </c>
      <c r="AE54" s="67">
        <f>(AE260*AE50-$Y$29)/AE50</f>
        <v>0.515803067213459</v>
      </c>
      <c r="AG54" s="67">
        <f>(AG260*AG50-$Y$29)/AG50</f>
        <v>0.5160032893676044</v>
      </c>
      <c r="AI54" s="67">
        <f>(AI260*AI50-$Y$29)/AI50</f>
        <v>0.5162015291241842</v>
      </c>
      <c r="AK54" s="33">
        <f>AK53/AK$50</f>
        <v>0.5106382978723404</v>
      </c>
      <c r="AM54" s="33">
        <f>AM53/AM$50</f>
        <v>0.5220622387366466</v>
      </c>
    </row>
    <row r="55" spans="1:39" ht="12.75">
      <c r="A55" t="s">
        <v>29</v>
      </c>
      <c r="K55" s="96">
        <f>'Target P&amp;L'!K15</f>
        <v>74.8</v>
      </c>
      <c r="M55" s="94">
        <f>K55+AM55-AK55</f>
        <v>80.5</v>
      </c>
      <c r="O55" s="94">
        <f>Q55*stub</f>
        <v>14.716666666666663</v>
      </c>
      <c r="Q55" s="94">
        <f>Q56*Q$50</f>
        <v>88.29999999999998</v>
      </c>
      <c r="S55" s="94">
        <f>S56*S$50</f>
        <v>71.69999999999999</v>
      </c>
      <c r="U55" s="94">
        <f>U56*U$50</f>
        <v>72.39999999999999</v>
      </c>
      <c r="W55" s="94">
        <f>W56*W$50</f>
        <v>73.32399999999998</v>
      </c>
      <c r="Y55" s="94">
        <f>Y56*Y$50</f>
        <v>74.25723999999998</v>
      </c>
      <c r="AA55" s="94">
        <f>AA56*AA$50</f>
        <v>75.19981239999998</v>
      </c>
      <c r="AC55" s="94">
        <f>AC56*AC$50</f>
        <v>76.151810524</v>
      </c>
      <c r="AE55" s="94">
        <f>AE56*AE$50</f>
        <v>77.11332862924</v>
      </c>
      <c r="AG55" s="94">
        <f>AG56*AG$50</f>
        <v>78.0844619155324</v>
      </c>
      <c r="AI55" s="94">
        <f>AI56*AI$50</f>
        <v>79.06530653468772</v>
      </c>
      <c r="AK55" s="38">
        <v>35.5</v>
      </c>
      <c r="AM55" s="38">
        <v>41.2</v>
      </c>
    </row>
    <row r="56" spans="1:39" ht="12.75">
      <c r="A56" s="67"/>
      <c r="B56" s="67" t="s">
        <v>26</v>
      </c>
      <c r="K56" s="67">
        <f>K55/K$50</f>
        <v>0.18583850931677018</v>
      </c>
      <c r="M56" s="67">
        <f>M55/M$50</f>
        <v>0.19148430066603236</v>
      </c>
      <c r="O56" s="67">
        <f>O55/O$50</f>
        <v>0.1927526740886269</v>
      </c>
      <c r="Q56" s="67">
        <f>Q267</f>
        <v>0.19275267408862692</v>
      </c>
      <c r="S56" s="67">
        <f>(S267*S50-$Y$30)/S50</f>
        <v>0.1532051282051282</v>
      </c>
      <c r="U56" s="67">
        <f>(U267*U50-$Y$30)/U50</f>
        <v>0.1538788522848034</v>
      </c>
      <c r="W56" s="67">
        <f>(W267*W50-$Y$30)/W50</f>
        <v>0.15429972327732241</v>
      </c>
      <c r="Y56" s="67">
        <f>(Y267*Y50-$Y$30)/Y50</f>
        <v>0.15471642723031154</v>
      </c>
      <c r="AA56" s="67">
        <f>(AA267*AA50-$Y$30)/AA50</f>
        <v>0.1551290054015879</v>
      </c>
      <c r="AC56" s="67">
        <f>(AC267*AC50-$Y$30)/AC50</f>
        <v>0.15553749864047542</v>
      </c>
      <c r="AE56" s="67">
        <f>(AE267*AE50-$Y$30)/AE50</f>
        <v>0.15594194739184916</v>
      </c>
      <c r="AG56" s="67">
        <f>(AG267*AG50-$Y$30)/AG50</f>
        <v>0.15634239170014</v>
      </c>
      <c r="AI56" s="67">
        <f>(AI267*AI50-$Y$30)/AI50</f>
        <v>0.15673887121329924</v>
      </c>
      <c r="AK56" s="33">
        <f>AK55/AK$50</f>
        <v>0.17983789260385005</v>
      </c>
      <c r="AM56" s="33">
        <f>AM55/AM$50</f>
        <v>0.19136089177891316</v>
      </c>
    </row>
    <row r="57" spans="1:39" ht="12.75">
      <c r="A57" t="s">
        <v>66</v>
      </c>
      <c r="K57" s="38">
        <v>0</v>
      </c>
      <c r="M57" s="94">
        <f>K57+AM57-AK57</f>
        <v>0</v>
      </c>
      <c r="O57" s="94">
        <f>Q57*stub</f>
        <v>0</v>
      </c>
      <c r="Q57" s="94">
        <f>Q58*Q$50</f>
        <v>0</v>
      </c>
      <c r="S57" s="94">
        <f>S58*S$50</f>
        <v>0</v>
      </c>
      <c r="U57" s="94">
        <f>U58*U$50</f>
        <v>0</v>
      </c>
      <c r="W57" s="94">
        <f>W58*W$50</f>
        <v>0</v>
      </c>
      <c r="Y57" s="94">
        <f>Y58*Y$50</f>
        <v>0</v>
      </c>
      <c r="AA57" s="94">
        <f>AA58*AA$50</f>
        <v>0</v>
      </c>
      <c r="AC57" s="94">
        <f>AC58*AC$50</f>
        <v>0</v>
      </c>
      <c r="AE57" s="94">
        <f>AE58*AE$50</f>
        <v>0</v>
      </c>
      <c r="AG57" s="94">
        <f>AG58*AG$50</f>
        <v>0</v>
      </c>
      <c r="AI57" s="94">
        <f>AI58*AI$50</f>
        <v>0</v>
      </c>
      <c r="AK57" s="38">
        <v>0</v>
      </c>
      <c r="AM57" s="38">
        <v>0</v>
      </c>
    </row>
    <row r="58" spans="1:39" ht="12.75">
      <c r="A58" s="67"/>
      <c r="B58" s="67" t="s">
        <v>26</v>
      </c>
      <c r="K58" s="67">
        <f>K57/K$50</f>
        <v>0</v>
      </c>
      <c r="M58" s="67">
        <f>M57/M$50</f>
        <v>0</v>
      </c>
      <c r="O58" s="67">
        <f>O57/O$50</f>
        <v>0</v>
      </c>
      <c r="Q58" s="67">
        <f>Q274</f>
        <v>0</v>
      </c>
      <c r="S58" s="67">
        <f>S274</f>
        <v>0</v>
      </c>
      <c r="U58" s="67">
        <f>U274</f>
        <v>0</v>
      </c>
      <c r="W58" s="67">
        <f>W274</f>
        <v>0</v>
      </c>
      <c r="Y58" s="67">
        <f>Y274</f>
        <v>0</v>
      </c>
      <c r="AA58" s="67">
        <f>AA274</f>
        <v>0</v>
      </c>
      <c r="AC58" s="67">
        <f>AC274</f>
        <v>0</v>
      </c>
      <c r="AE58" s="67">
        <f>AE274</f>
        <v>0</v>
      </c>
      <c r="AG58" s="67">
        <f>AG274</f>
        <v>0</v>
      </c>
      <c r="AI58" s="67">
        <f>AI274</f>
        <v>0</v>
      </c>
      <c r="AK58" s="33">
        <f>AK57/AK$50</f>
        <v>0</v>
      </c>
      <c r="AM58" s="33">
        <f>AM57/AM$50</f>
        <v>0</v>
      </c>
    </row>
    <row r="59" spans="1:2" ht="4.5" customHeight="1" thickBot="1">
      <c r="A59" s="67"/>
      <c r="B59" s="67"/>
    </row>
    <row r="60" spans="1:39" ht="12.75">
      <c r="A60" s="10" t="s">
        <v>30</v>
      </c>
      <c r="B60" s="10"/>
      <c r="K60" s="95">
        <f>K50-K53-K55-K57</f>
        <v>120.00000000000001</v>
      </c>
      <c r="M60" s="95">
        <f>M50-M53-M55-M57</f>
        <v>120.59999999999997</v>
      </c>
      <c r="O60" s="95">
        <f>O50-O53-O55-O57</f>
        <v>21.700000000000003</v>
      </c>
      <c r="Q60" s="95">
        <f>Q50-Q53-Q55-Q57</f>
        <v>130.2</v>
      </c>
      <c r="S60" s="95">
        <f>S50-S53-S55-S57</f>
        <v>156.5</v>
      </c>
      <c r="U60" s="95">
        <f>U50-U53-U55-U57</f>
        <v>155.90000000000003</v>
      </c>
      <c r="W60" s="95">
        <f>W50-W53-W55-W57</f>
        <v>157.159</v>
      </c>
      <c r="Y60" s="95">
        <f>Y50-Y53-Y55-Y57</f>
        <v>158.43059</v>
      </c>
      <c r="AA60" s="95">
        <f>AA50-AA53-AA55-AA57</f>
        <v>159.71489590000002</v>
      </c>
      <c r="AC60" s="95">
        <f>AC50-AC53-AC55-AC57</f>
        <v>161.012044859</v>
      </c>
      <c r="AE60" s="95">
        <f>AE50-AE53-AE55-AE57</f>
        <v>162.32216530759</v>
      </c>
      <c r="AG60" s="95">
        <f>AG50-AG53-AG55-AG57</f>
        <v>163.64538696066592</v>
      </c>
      <c r="AI60" s="95">
        <f>AI50-AI53-AI55-AI57</f>
        <v>164.98184083027255</v>
      </c>
      <c r="AK60" s="95">
        <f>AK50-AK53-AK55-AK57</f>
        <v>61.10000000000001</v>
      </c>
      <c r="AL60" s="10"/>
      <c r="AM60" s="95">
        <f>AM50-AM53-AM55-AM57</f>
        <v>61.7</v>
      </c>
    </row>
    <row r="61" spans="1:39" ht="12.75">
      <c r="A61" s="67"/>
      <c r="B61" s="67" t="s">
        <v>28</v>
      </c>
      <c r="K61" s="67">
        <f>K60/K$50</f>
        <v>0.2981366459627329</v>
      </c>
      <c r="M61" s="67">
        <f>M60/M$50</f>
        <v>0.2868696479543291</v>
      </c>
      <c r="O61" s="67">
        <f>O60/O$50</f>
        <v>0.2842174197773413</v>
      </c>
      <c r="Q61" s="67">
        <f>Q60/Q$50</f>
        <v>0.28421741977734116</v>
      </c>
      <c r="S61" s="67">
        <f>S60/S$50</f>
        <v>0.33440170940170943</v>
      </c>
      <c r="U61" s="67">
        <f>U60/U$50</f>
        <v>0.33134962805526047</v>
      </c>
      <c r="W61" s="67">
        <f>W60/W$50</f>
        <v>0.33071832156648184</v>
      </c>
      <c r="Y61" s="67">
        <f>Y60/Y$50</f>
        <v>0.3300932656369982</v>
      </c>
      <c r="AA61" s="67">
        <f>AA60/AA$50</f>
        <v>0.3294743983800837</v>
      </c>
      <c r="AC61" s="67">
        <f>AC60/AC$50</f>
        <v>0.3288616585217524</v>
      </c>
      <c r="AE61" s="67">
        <f>AE60/AE$50</f>
        <v>0.3282549853946918</v>
      </c>
      <c r="AG61" s="67">
        <f>AG60/AG$50</f>
        <v>0.32765431893225555</v>
      </c>
      <c r="AI61" s="67">
        <f>AI60/AI$50</f>
        <v>0.3270595996625166</v>
      </c>
      <c r="AK61" s="33">
        <f>AK60/AK$50</f>
        <v>0.30952380952380953</v>
      </c>
      <c r="AM61" s="33">
        <f>AM60/AM$50</f>
        <v>0.28657686948444033</v>
      </c>
    </row>
    <row r="63" spans="1:35" ht="13.5" customHeight="1">
      <c r="A63" s="4" t="s">
        <v>70</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ht="12.75">
      <c r="A64" s="3" t="str">
        <f>$A$2</f>
        <v>($ in millions, except per share data)</v>
      </c>
    </row>
    <row r="65" spans="7:35" ht="13.5" thickBot="1">
      <c r="G65" s="100" t="s">
        <v>71</v>
      </c>
      <c r="H65" s="100"/>
      <c r="I65" s="100"/>
      <c r="K65" s="100" t="s">
        <v>72</v>
      </c>
      <c r="L65" s="100"/>
      <c r="M65" s="100"/>
      <c r="O65" s="22" t="s">
        <v>73</v>
      </c>
      <c r="Q65" s="20" t="str">
        <f>Q245</f>
        <v>Projected Fiscal Years Ending September 30,</v>
      </c>
      <c r="R65" s="20"/>
      <c r="S65" s="20"/>
      <c r="T65" s="20"/>
      <c r="U65" s="20"/>
      <c r="V65" s="20"/>
      <c r="W65" s="20"/>
      <c r="X65" s="20"/>
      <c r="Y65" s="20"/>
      <c r="Z65" s="20"/>
      <c r="AA65" s="20"/>
      <c r="AB65" s="20"/>
      <c r="AC65" s="20"/>
      <c r="AD65" s="20"/>
      <c r="AE65" s="20"/>
      <c r="AF65" s="20"/>
      <c r="AG65" s="20"/>
      <c r="AH65" s="20"/>
      <c r="AI65" s="20"/>
    </row>
    <row r="66" spans="5:35" ht="12.75">
      <c r="E66" s="81"/>
      <c r="G66" s="81">
        <f>Q66-1</f>
        <v>0</v>
      </c>
      <c r="I66" s="81" t="str">
        <f>TEXT(ltm_date,"mmm d")</f>
        <v>Mar 31</v>
      </c>
      <c r="M66" s="22" t="s">
        <v>74</v>
      </c>
      <c r="O66" s="22" t="s">
        <v>75</v>
      </c>
      <c r="Q66" s="81">
        <f>Q246</f>
        <v>1</v>
      </c>
      <c r="S66" s="81">
        <f>S246</f>
        <v>2</v>
      </c>
      <c r="U66" s="81">
        <f>U246</f>
        <v>3</v>
      </c>
      <c r="W66" s="81">
        <f>W246</f>
        <v>4</v>
      </c>
      <c r="Y66" s="81">
        <f>Y246</f>
        <v>5</v>
      </c>
      <c r="AA66" s="81">
        <f>AA246</f>
        <v>6</v>
      </c>
      <c r="AC66" s="81">
        <f>AC246</f>
        <v>7</v>
      </c>
      <c r="AE66" s="81">
        <f>AE246</f>
        <v>8</v>
      </c>
      <c r="AG66" s="81">
        <f>AG246</f>
        <v>9</v>
      </c>
      <c r="AI66" s="81">
        <f>AI246</f>
        <v>10</v>
      </c>
    </row>
    <row r="67" spans="7:35" ht="13.5" thickBot="1">
      <c r="G67" s="82">
        <f>Q67-1</f>
        <v>2007</v>
      </c>
      <c r="I67" s="82" t="str">
        <f>TEXT(ltm_date,"YYYY")</f>
        <v>2008</v>
      </c>
      <c r="K67" s="82" t="s">
        <v>76</v>
      </c>
      <c r="M67" s="82" t="s">
        <v>66</v>
      </c>
      <c r="O67" s="101">
        <f>Y38</f>
        <v>39660</v>
      </c>
      <c r="Q67" s="82">
        <f>Q247</f>
        <v>2008</v>
      </c>
      <c r="S67" s="82">
        <f>S247</f>
        <v>2009</v>
      </c>
      <c r="U67" s="82">
        <f>U247</f>
        <v>2010</v>
      </c>
      <c r="W67" s="82">
        <f>W247</f>
        <v>2011</v>
      </c>
      <c r="Y67" s="82">
        <f>Y247</f>
        <v>2012</v>
      </c>
      <c r="AA67" s="82">
        <f>AA247</f>
        <v>2013</v>
      </c>
      <c r="AC67" s="82">
        <f>AC247</f>
        <v>2014</v>
      </c>
      <c r="AE67" s="82">
        <f>AE247</f>
        <v>2015</v>
      </c>
      <c r="AG67" s="82">
        <f>AG247</f>
        <v>2016</v>
      </c>
      <c r="AI67" s="82">
        <f>AI247</f>
        <v>2017</v>
      </c>
    </row>
    <row r="68" ht="12.75">
      <c r="A68" s="83" t="s">
        <v>77</v>
      </c>
    </row>
    <row r="69" spans="2:15" ht="12.75">
      <c r="B69" t="s">
        <v>78</v>
      </c>
      <c r="G69" s="77">
        <v>132.832</v>
      </c>
      <c r="I69" s="77">
        <v>146.606</v>
      </c>
      <c r="K69" s="76">
        <f>S306-S285</f>
        <v>-116.606</v>
      </c>
      <c r="O69" s="76">
        <f>SUM(I69:M69)</f>
        <v>30</v>
      </c>
    </row>
    <row r="70" spans="2:35" ht="12.75">
      <c r="B70" t="s">
        <v>79</v>
      </c>
      <c r="G70" s="38">
        <f>114.132+6.038</f>
        <v>120.17</v>
      </c>
      <c r="I70" s="38">
        <v>131.443</v>
      </c>
      <c r="O70" s="94">
        <f>SUM(I70:M70)</f>
        <v>131.443</v>
      </c>
      <c r="Q70" s="94">
        <f>Q170</f>
        <v>143.23034800190297</v>
      </c>
      <c r="S70" s="94">
        <f>S170</f>
        <v>146.32569933396766</v>
      </c>
      <c r="U70" s="94">
        <f>U170</f>
        <v>147.10735371075168</v>
      </c>
      <c r="W70" s="94">
        <f>W170</f>
        <v>148.57842724785917</v>
      </c>
      <c r="Y70" s="94">
        <f>Y170</f>
        <v>150.06421152033778</v>
      </c>
      <c r="AA70" s="94">
        <f>AA170</f>
        <v>151.56485363554114</v>
      </c>
      <c r="AC70" s="94">
        <f>AC170</f>
        <v>153.08050217189657</v>
      </c>
      <c r="AE70" s="94">
        <f>AE170</f>
        <v>154.61130719361554</v>
      </c>
      <c r="AG70" s="94">
        <f>AG170</f>
        <v>156.1574202655517</v>
      </c>
      <c r="AI70" s="94">
        <f>AI170</f>
        <v>157.71899446820723</v>
      </c>
    </row>
    <row r="71" spans="2:35" ht="12.75">
      <c r="B71" t="s">
        <v>80</v>
      </c>
      <c r="G71" s="38">
        <v>0</v>
      </c>
      <c r="I71" s="38">
        <v>0</v>
      </c>
      <c r="O71" s="94">
        <f>SUM(I71:M71)</f>
        <v>0</v>
      </c>
      <c r="Q71" s="94">
        <f aca="true" t="shared" si="8" ref="Q71:S73">Q171</f>
        <v>0</v>
      </c>
      <c r="S71" s="94">
        <f t="shared" si="8"/>
        <v>0</v>
      </c>
      <c r="U71" s="94">
        <f>U171</f>
        <v>0</v>
      </c>
      <c r="W71" s="94">
        <f>W171</f>
        <v>0</v>
      </c>
      <c r="Y71" s="94">
        <f>Y171</f>
        <v>0</v>
      </c>
      <c r="AA71" s="94">
        <f>AA171</f>
        <v>0</v>
      </c>
      <c r="AC71" s="94">
        <f>AC171</f>
        <v>0</v>
      </c>
      <c r="AE71" s="94">
        <f>AE171</f>
        <v>0</v>
      </c>
      <c r="AG71" s="94">
        <f>AG171</f>
        <v>0</v>
      </c>
      <c r="AI71" s="94">
        <f>AI171</f>
        <v>0</v>
      </c>
    </row>
    <row r="72" spans="2:35" ht="12.75">
      <c r="B72" t="s">
        <v>81</v>
      </c>
      <c r="G72" s="38">
        <v>10.657</v>
      </c>
      <c r="I72" s="38">
        <v>8.828</v>
      </c>
      <c r="O72" s="94">
        <f>SUM(I72:M72)</f>
        <v>8.828</v>
      </c>
      <c r="Q72" s="94">
        <f t="shared" si="8"/>
        <v>9.619664129400569</v>
      </c>
      <c r="S72" s="94">
        <f t="shared" si="8"/>
        <v>9.827554709800188</v>
      </c>
      <c r="U72" s="94">
        <f>U172</f>
        <v>9.880052331113223</v>
      </c>
      <c r="W72" s="94">
        <f>W172</f>
        <v>9.978852854424355</v>
      </c>
      <c r="Y72" s="94">
        <f>Y172</f>
        <v>10.078641382968598</v>
      </c>
      <c r="AA72" s="94">
        <f>AA172</f>
        <v>10.179427796798285</v>
      </c>
      <c r="AC72" s="94">
        <f>AC172</f>
        <v>10.28122207476627</v>
      </c>
      <c r="AE72" s="94">
        <f>AE172</f>
        <v>10.384034295513931</v>
      </c>
      <c r="AG72" s="94">
        <f>AG172</f>
        <v>10.487874638469071</v>
      </c>
      <c r="AI72" s="94">
        <f>AI172</f>
        <v>10.592753384853761</v>
      </c>
    </row>
    <row r="73" spans="2:35" ht="13.5" thickBot="1">
      <c r="B73" t="s">
        <v>82</v>
      </c>
      <c r="G73" s="38">
        <f>2.128+6.399</f>
        <v>8.527000000000001</v>
      </c>
      <c r="I73" s="38">
        <v>8.223</v>
      </c>
      <c r="O73" s="94">
        <f>SUM(I73:M73)</f>
        <v>8.223</v>
      </c>
      <c r="Q73" s="94">
        <f t="shared" si="8"/>
        <v>8.984180574555404</v>
      </c>
      <c r="S73" s="94">
        <f t="shared" si="8"/>
        <v>8.991679890560874</v>
      </c>
      <c r="U73" s="94">
        <f>U173</f>
        <v>9.081671682626537</v>
      </c>
      <c r="W73" s="94">
        <f>W173</f>
        <v>9.176238057455539</v>
      </c>
      <c r="Y73" s="94">
        <f>Y173</f>
        <v>9.27175009603283</v>
      </c>
      <c r="AA73" s="94">
        <f>AA173</f>
        <v>9.368217254995894</v>
      </c>
      <c r="AC73" s="94">
        <f>AC173</f>
        <v>9.46564908554859</v>
      </c>
      <c r="AE73" s="94">
        <f>AE173</f>
        <v>9.564055234406812</v>
      </c>
      <c r="AG73" s="94">
        <f>AG173</f>
        <v>9.663445444753615</v>
      </c>
      <c r="AI73" s="94">
        <f>AI173</f>
        <v>9.76382955720389</v>
      </c>
    </row>
    <row r="74" spans="3:35" ht="12.75">
      <c r="C74" t="s">
        <v>83</v>
      </c>
      <c r="G74" s="102">
        <f>SUM(G69:G73)</f>
        <v>272.186</v>
      </c>
      <c r="I74" s="102">
        <f>SUM(I69:I73)</f>
        <v>295.09999999999997</v>
      </c>
      <c r="O74" s="102">
        <f>SUM(O69:O73)</f>
        <v>178.49400000000003</v>
      </c>
      <c r="Q74" s="102">
        <f>SUM(Q69:Q73)</f>
        <v>161.83419270585895</v>
      </c>
      <c r="S74" s="102">
        <f>SUM(S69:S73)</f>
        <v>165.14493393432872</v>
      </c>
      <c r="U74" s="102">
        <f>SUM(U69:U73)</f>
        <v>166.06907772449145</v>
      </c>
      <c r="W74" s="102">
        <f>SUM(W69:W73)</f>
        <v>167.73351815973908</v>
      </c>
      <c r="Y74" s="102">
        <f>SUM(Y69:Y73)</f>
        <v>169.41460299933922</v>
      </c>
      <c r="AA74" s="102">
        <f>SUM(AA69:AA73)</f>
        <v>171.11249868733532</v>
      </c>
      <c r="AC74" s="102">
        <f>SUM(AC69:AC73)</f>
        <v>172.82737333221144</v>
      </c>
      <c r="AE74" s="102">
        <f>SUM(AE69:AE73)</f>
        <v>174.5593967235363</v>
      </c>
      <c r="AG74" s="102">
        <f>SUM(AG69:AG73)</f>
        <v>176.3087403487744</v>
      </c>
      <c r="AI74" s="102">
        <f>SUM(AI69:AI73)</f>
        <v>178.07557741026486</v>
      </c>
    </row>
    <row r="75" ht="4.5" customHeight="1"/>
    <row r="76" spans="2:15" ht="12.75">
      <c r="B76" t="s">
        <v>84</v>
      </c>
      <c r="G76" s="74">
        <f>G78-G77</f>
        <v>168.877</v>
      </c>
      <c r="I76" s="74">
        <f>I78-I77</f>
        <v>175.41400000000002</v>
      </c>
      <c r="M76" s="76">
        <f>AG21</f>
        <v>15</v>
      </c>
      <c r="O76" s="76">
        <f>SUM(I76:M76)</f>
        <v>190.41400000000002</v>
      </c>
    </row>
    <row r="77" spans="2:15" ht="13.5" thickBot="1">
      <c r="B77" t="s">
        <v>85</v>
      </c>
      <c r="G77" s="38">
        <f>-69.565-66.656</f>
        <v>-136.221</v>
      </c>
      <c r="I77" s="38">
        <f>-72.879-69.565</f>
        <v>-142.44400000000002</v>
      </c>
      <c r="O77" s="94">
        <f>SUM(I77:M77)</f>
        <v>-142.44400000000002</v>
      </c>
    </row>
    <row r="78" spans="3:15" ht="12.75">
      <c r="C78" t="s">
        <v>86</v>
      </c>
      <c r="G78" s="103">
        <v>32.656</v>
      </c>
      <c r="I78" s="103">
        <v>32.97</v>
      </c>
      <c r="O78" s="104">
        <f>SUM(O76:O77)</f>
        <v>47.97</v>
      </c>
    </row>
    <row r="79" ht="4.5" customHeight="1"/>
    <row r="80" spans="2:15" ht="12.75">
      <c r="B80" t="s">
        <v>87</v>
      </c>
      <c r="G80" s="91">
        <v>0</v>
      </c>
      <c r="I80" s="91">
        <v>0</v>
      </c>
      <c r="O80" s="105">
        <f aca="true" t="shared" si="9" ref="O80:O85">SUM(I80:M80)</f>
        <v>0</v>
      </c>
    </row>
    <row r="81" spans="2:15" ht="12.75">
      <c r="B81" t="s">
        <v>88</v>
      </c>
      <c r="G81" s="38">
        <v>0</v>
      </c>
      <c r="I81" s="38">
        <v>0</v>
      </c>
      <c r="K81" s="37">
        <f>S313</f>
        <v>6.4375</v>
      </c>
      <c r="O81" s="39">
        <f t="shared" si="9"/>
        <v>6.4375</v>
      </c>
    </row>
    <row r="82" spans="2:15" ht="12.75">
      <c r="B82" t="s">
        <v>89</v>
      </c>
      <c r="G82" s="38">
        <v>60.745</v>
      </c>
      <c r="I82" s="38">
        <v>61.094</v>
      </c>
      <c r="M82" s="39">
        <f>IF(LBO=1,AG23+goodwill,0)</f>
        <v>379.7989942812499</v>
      </c>
      <c r="O82" s="39">
        <f t="shared" si="9"/>
        <v>440.8929942812499</v>
      </c>
    </row>
    <row r="83" spans="2:15" ht="12.75">
      <c r="B83" t="s">
        <v>90</v>
      </c>
      <c r="G83" s="38">
        <f>31.526+8.649</f>
        <v>40.175</v>
      </c>
      <c r="I83" s="38">
        <v>37.491</v>
      </c>
      <c r="M83" s="37">
        <f>AG22</f>
        <v>116.28328187499997</v>
      </c>
      <c r="O83" s="39">
        <f t="shared" si="9"/>
        <v>153.77428187499999</v>
      </c>
    </row>
    <row r="84" spans="2:15" ht="12.75">
      <c r="B84" t="s">
        <v>91</v>
      </c>
      <c r="G84" s="38">
        <v>0</v>
      </c>
      <c r="I84" s="38">
        <v>0</v>
      </c>
      <c r="O84" s="39">
        <f t="shared" si="9"/>
        <v>0</v>
      </c>
    </row>
    <row r="85" spans="2:15" ht="13.5" thickBot="1">
      <c r="B85" t="s">
        <v>92</v>
      </c>
      <c r="G85" s="38">
        <f>9.453+7.173</f>
        <v>16.625999999999998</v>
      </c>
      <c r="I85" s="38">
        <v>14.29</v>
      </c>
      <c r="O85" s="39">
        <f t="shared" si="9"/>
        <v>14.29</v>
      </c>
    </row>
    <row r="86" spans="1:15" ht="13.5" thickBot="1">
      <c r="A86" s="10"/>
      <c r="B86" s="10"/>
      <c r="C86" s="10" t="s">
        <v>93</v>
      </c>
      <c r="G86" s="106">
        <f>SUM(G78:G85)+G74</f>
        <v>422.388</v>
      </c>
      <c r="I86" s="106">
        <f>SUM(I78:I85)+I74</f>
        <v>440.94499999999994</v>
      </c>
      <c r="O86" s="106">
        <f>SUM(O78:O85)+O74</f>
        <v>841.85877615625</v>
      </c>
    </row>
    <row r="87" ht="13.5" thickTop="1"/>
    <row r="88" ht="12.75">
      <c r="A88" s="83" t="s">
        <v>94</v>
      </c>
    </row>
    <row r="89" spans="2:15" ht="12.75">
      <c r="B89" t="s">
        <v>95</v>
      </c>
      <c r="G89" s="77">
        <v>0</v>
      </c>
      <c r="I89" s="77">
        <v>0</v>
      </c>
      <c r="K89" s="107">
        <f>-I89</f>
        <v>0</v>
      </c>
      <c r="O89" s="107">
        <f>SUM(I89:M89)</f>
        <v>0</v>
      </c>
    </row>
    <row r="90" spans="2:35" ht="12.75">
      <c r="B90" t="s">
        <v>96</v>
      </c>
      <c r="G90" s="38">
        <v>18.429</v>
      </c>
      <c r="I90" s="38">
        <v>20.662</v>
      </c>
      <c r="O90" s="39">
        <f>SUM(I90:M90)</f>
        <v>20.662</v>
      </c>
      <c r="Q90" s="39">
        <f>Q176</f>
        <v>22.574624715002276</v>
      </c>
      <c r="S90" s="39">
        <f>S176</f>
        <v>22.593468308253527</v>
      </c>
      <c r="U90" s="39">
        <f>U176</f>
        <v>22.819591427268573</v>
      </c>
      <c r="W90" s="39">
        <f>W176</f>
        <v>23.057209138166886</v>
      </c>
      <c r="Y90" s="39">
        <f>Y176</f>
        <v>23.297203026174184</v>
      </c>
      <c r="AA90" s="39">
        <f>AA176</f>
        <v>23.53959685306155</v>
      </c>
      <c r="AC90" s="39">
        <f>AC176</f>
        <v>23.784414618217795</v>
      </c>
      <c r="AE90" s="39">
        <f>AE176</f>
        <v>24.0316805610256</v>
      </c>
      <c r="AG90" s="39">
        <f>AG176</f>
        <v>24.281419163261482</v>
      </c>
      <c r="AI90" s="39">
        <f>AI176</f>
        <v>24.533655151519728</v>
      </c>
    </row>
    <row r="91" spans="2:35" ht="12.75">
      <c r="B91" t="s">
        <v>97</v>
      </c>
      <c r="G91" s="38">
        <f>21.042</f>
        <v>21.042</v>
      </c>
      <c r="I91" s="38">
        <v>15.38</v>
      </c>
      <c r="O91" s="39">
        <f>SUM(I91:M91)</f>
        <v>15.38</v>
      </c>
      <c r="Q91" s="39">
        <f aca="true" t="shared" si="10" ref="Q91:S93">Q177</f>
        <v>16.803684450524393</v>
      </c>
      <c r="S91" s="39">
        <f t="shared" si="10"/>
        <v>16.81771089831281</v>
      </c>
      <c r="U91" s="39">
        <f>U177</f>
        <v>16.986028271773822</v>
      </c>
      <c r="W91" s="39">
        <f>W177</f>
        <v>17.16290177838577</v>
      </c>
      <c r="Y91" s="39">
        <f>Y177</f>
        <v>17.341544020063836</v>
      </c>
      <c r="AA91" s="39">
        <f>AA177</f>
        <v>17.521972684158683</v>
      </c>
      <c r="AC91" s="39">
        <f>AC177</f>
        <v>17.70420563489448</v>
      </c>
      <c r="AE91" s="39">
        <f>AE177</f>
        <v>17.888260915137632</v>
      </c>
      <c r="AG91" s="39">
        <f>AG177</f>
        <v>18.074156748183217</v>
      </c>
      <c r="AI91" s="39">
        <f>AI177</f>
        <v>18.26191153955926</v>
      </c>
    </row>
    <row r="92" spans="2:35" ht="12.75">
      <c r="B92" t="s">
        <v>98</v>
      </c>
      <c r="G92" s="38">
        <v>26.657</v>
      </c>
      <c r="I92" s="38">
        <v>0</v>
      </c>
      <c r="O92" s="39">
        <f>SUM(I92:M92)</f>
        <v>0</v>
      </c>
      <c r="Q92" s="39">
        <f t="shared" si="10"/>
        <v>0</v>
      </c>
      <c r="S92" s="39">
        <f t="shared" si="10"/>
        <v>0</v>
      </c>
      <c r="U92" s="39">
        <f>U178</f>
        <v>0</v>
      </c>
      <c r="W92" s="39">
        <f>W178</f>
        <v>0</v>
      </c>
      <c r="Y92" s="39">
        <f>Y178</f>
        <v>0</v>
      </c>
      <c r="AA92" s="39">
        <f>AA178</f>
        <v>0</v>
      </c>
      <c r="AC92" s="39">
        <f>AC178</f>
        <v>0</v>
      </c>
      <c r="AE92" s="39">
        <f>AE178</f>
        <v>0</v>
      </c>
      <c r="AG92" s="39">
        <f>AG178</f>
        <v>0</v>
      </c>
      <c r="AI92" s="39">
        <f>AI178</f>
        <v>0</v>
      </c>
    </row>
    <row r="93" spans="2:35" ht="13.5" thickBot="1">
      <c r="B93" t="s">
        <v>99</v>
      </c>
      <c r="G93" s="38">
        <f>7.595+17.48</f>
        <v>25.075</v>
      </c>
      <c r="I93" s="38">
        <v>59.132999999999996</v>
      </c>
      <c r="O93" s="39">
        <f>SUM(I93:M93)</f>
        <v>59.132999999999996</v>
      </c>
      <c r="Q93" s="39">
        <f t="shared" si="10"/>
        <v>64.60677975376197</v>
      </c>
      <c r="S93" s="39">
        <f t="shared" si="10"/>
        <v>64.66070861833104</v>
      </c>
      <c r="U93" s="39">
        <f>U179</f>
        <v>65.30785499316003</v>
      </c>
      <c r="W93" s="39">
        <f>W179</f>
        <v>65.98789797537619</v>
      </c>
      <c r="Y93" s="39">
        <f>Y179</f>
        <v>66.67474138741449</v>
      </c>
      <c r="AA93" s="39">
        <f>AA179</f>
        <v>67.36845323357316</v>
      </c>
      <c r="AC93" s="39">
        <f>AC179</f>
        <v>68.06910219819345</v>
      </c>
      <c r="AE93" s="39">
        <f>AE179</f>
        <v>68.77675765245992</v>
      </c>
      <c r="AG93" s="39">
        <f>AG179</f>
        <v>69.49148966126906</v>
      </c>
      <c r="AI93" s="39">
        <f>AI179</f>
        <v>70.2133689901663</v>
      </c>
    </row>
    <row r="94" spans="3:35" ht="12.75">
      <c r="C94" t="s">
        <v>100</v>
      </c>
      <c r="G94" s="108">
        <f>SUM(G89:G93)</f>
        <v>91.203</v>
      </c>
      <c r="I94" s="108">
        <f>SUM(I89:I93)</f>
        <v>95.175</v>
      </c>
      <c r="O94" s="108">
        <f>SUM(O89:O93)</f>
        <v>95.175</v>
      </c>
      <c r="Q94" s="108">
        <f>SUM(Q89:Q93)</f>
        <v>103.98508891928864</v>
      </c>
      <c r="S94" s="108">
        <f>SUM(S89:S93)</f>
        <v>104.07188782489737</v>
      </c>
      <c r="U94" s="108">
        <f>SUM(U89:U93)</f>
        <v>105.11347469220243</v>
      </c>
      <c r="W94" s="108">
        <f>SUM(W89:W93)</f>
        <v>106.20800889192884</v>
      </c>
      <c r="Y94" s="108">
        <f>SUM(Y89:Y93)</f>
        <v>107.31348843365251</v>
      </c>
      <c r="AA94" s="108">
        <f>SUM(AA89:AA93)</f>
        <v>108.4300227707934</v>
      </c>
      <c r="AC94" s="108">
        <f>SUM(AC89:AC93)</f>
        <v>109.55772245130572</v>
      </c>
      <c r="AE94" s="108">
        <f>SUM(AE89:AE93)</f>
        <v>110.69669912862315</v>
      </c>
      <c r="AG94" s="108">
        <f>SUM(AG89:AG93)</f>
        <v>111.84706557271376</v>
      </c>
      <c r="AI94" s="108">
        <f>SUM(AI89:AI93)</f>
        <v>113.00893568124529</v>
      </c>
    </row>
    <row r="95" ht="4.5" customHeight="1"/>
    <row r="96" spans="2:15" ht="12.75">
      <c r="B96" t="s">
        <v>81</v>
      </c>
      <c r="G96" s="77">
        <v>0</v>
      </c>
      <c r="I96" s="77">
        <v>0</v>
      </c>
      <c r="M96" s="37">
        <f>-SUM(AG24:AG25)</f>
        <v>45.94914865624999</v>
      </c>
      <c r="O96" s="107">
        <f>SUM(I96:M96)</f>
        <v>45.94914865624999</v>
      </c>
    </row>
    <row r="97" spans="2:15" ht="12.75">
      <c r="B97" t="s">
        <v>101</v>
      </c>
      <c r="G97" s="38">
        <v>0</v>
      </c>
      <c r="I97" s="38">
        <v>0</v>
      </c>
      <c r="O97" s="39">
        <f>SUM(I97:M97)</f>
        <v>0</v>
      </c>
    </row>
    <row r="98" spans="2:15" ht="12.75">
      <c r="B98" t="s">
        <v>102</v>
      </c>
      <c r="G98" s="38">
        <f>9.79+4.918+3.953</f>
        <v>18.660999999999998</v>
      </c>
      <c r="I98" s="38">
        <v>17.917</v>
      </c>
      <c r="O98" s="39">
        <f>SUM(I98:M98)</f>
        <v>17.917</v>
      </c>
    </row>
    <row r="99" ht="4.5" customHeight="1"/>
    <row r="100" spans="2:15" ht="13.5" customHeight="1">
      <c r="B100" t="s">
        <v>182</v>
      </c>
      <c r="G100" s="38">
        <v>0</v>
      </c>
      <c r="I100" s="38">
        <v>0</v>
      </c>
      <c r="K100" s="37">
        <f>S288</f>
        <v>0</v>
      </c>
      <c r="O100" s="39">
        <f>SUM(I100:M100)</f>
        <v>0</v>
      </c>
    </row>
    <row r="101" spans="2:15" ht="13.5" customHeight="1">
      <c r="B101" t="s">
        <v>103</v>
      </c>
      <c r="G101" s="38">
        <v>230</v>
      </c>
      <c r="I101" s="38">
        <v>230</v>
      </c>
      <c r="K101" s="37">
        <f>IF(refi=1,-I101,I89)</f>
        <v>0</v>
      </c>
      <c r="O101" s="39">
        <f>SUM(I101:M101)</f>
        <v>230</v>
      </c>
    </row>
    <row r="102" spans="2:15" ht="13.5" customHeight="1">
      <c r="B102" t="str">
        <f aca="true" t="shared" si="11" ref="B102:B107">B289</f>
        <v>Term Loan - A</v>
      </c>
      <c r="G102" s="38">
        <v>0</v>
      </c>
      <c r="I102" s="38">
        <v>0</v>
      </c>
      <c r="K102" s="37">
        <f aca="true" t="shared" si="12" ref="K102:K107">S289</f>
        <v>150</v>
      </c>
      <c r="O102" s="39">
        <f aca="true" t="shared" si="13" ref="O102:O107">SUM(I102:M102)</f>
        <v>150</v>
      </c>
    </row>
    <row r="103" spans="2:15" ht="13.5" customHeight="1">
      <c r="B103" t="str">
        <f t="shared" si="11"/>
        <v>Term Loan - B</v>
      </c>
      <c r="G103" s="38">
        <v>0</v>
      </c>
      <c r="I103" s="38">
        <v>0</v>
      </c>
      <c r="K103" s="37">
        <f t="shared" si="12"/>
        <v>0</v>
      </c>
      <c r="O103" s="39">
        <f t="shared" si="13"/>
        <v>0</v>
      </c>
    </row>
    <row r="104" spans="2:15" ht="13.5" customHeight="1">
      <c r="B104" t="str">
        <f t="shared" si="11"/>
        <v>Senior Note</v>
      </c>
      <c r="G104" s="38">
        <v>0</v>
      </c>
      <c r="I104" s="38">
        <v>0</v>
      </c>
      <c r="K104" s="37">
        <f t="shared" si="12"/>
        <v>75</v>
      </c>
      <c r="O104" s="39">
        <f t="shared" si="13"/>
        <v>75</v>
      </c>
    </row>
    <row r="105" spans="2:15" ht="13.5" customHeight="1">
      <c r="B105" t="str">
        <f t="shared" si="11"/>
        <v>Subordinated Note</v>
      </c>
      <c r="G105" s="38">
        <v>0</v>
      </c>
      <c r="I105" s="38">
        <v>0</v>
      </c>
      <c r="K105" s="37">
        <f t="shared" si="12"/>
        <v>0</v>
      </c>
      <c r="O105" s="39">
        <f t="shared" si="13"/>
        <v>0</v>
      </c>
    </row>
    <row r="106" spans="2:15" ht="13.5" customHeight="1">
      <c r="B106" t="str">
        <f t="shared" si="11"/>
        <v>Mezzanine</v>
      </c>
      <c r="G106" s="38">
        <v>0</v>
      </c>
      <c r="I106" s="38">
        <v>0</v>
      </c>
      <c r="K106" s="37">
        <f t="shared" si="12"/>
        <v>0</v>
      </c>
      <c r="O106" s="39">
        <f t="shared" si="13"/>
        <v>0</v>
      </c>
    </row>
    <row r="107" spans="2:15" ht="13.5" customHeight="1" thickBot="1">
      <c r="B107" t="str">
        <f t="shared" si="11"/>
        <v>Seller Note</v>
      </c>
      <c r="G107" s="38">
        <v>0</v>
      </c>
      <c r="I107" s="38">
        <v>0</v>
      </c>
      <c r="K107" s="37">
        <f t="shared" si="12"/>
        <v>0</v>
      </c>
      <c r="O107" s="39">
        <f t="shared" si="13"/>
        <v>0</v>
      </c>
    </row>
    <row r="108" spans="1:15" ht="12.75">
      <c r="A108" s="24"/>
      <c r="B108" s="24"/>
      <c r="C108" s="24" t="s">
        <v>104</v>
      </c>
      <c r="G108" s="108">
        <f>SUM(G94:G101)</f>
        <v>339.86400000000003</v>
      </c>
      <c r="I108" s="108">
        <f>SUM(I94:I101)</f>
        <v>343.092</v>
      </c>
      <c r="O108" s="108">
        <f>SUM(O94:O107)</f>
        <v>614.04114865625</v>
      </c>
    </row>
    <row r="110" ht="12.75">
      <c r="A110" s="83" t="s">
        <v>105</v>
      </c>
    </row>
    <row r="111" spans="2:15" ht="12.75">
      <c r="B111" t="s">
        <v>106</v>
      </c>
      <c r="G111" s="77">
        <v>82.524</v>
      </c>
      <c r="I111" s="77">
        <v>97.8530000000001</v>
      </c>
      <c r="M111" s="76">
        <f>-I111</f>
        <v>-97.8530000000001</v>
      </c>
      <c r="O111" s="107">
        <f aca="true" t="shared" si="14" ref="O111:O120">SUM(I111:M111)</f>
        <v>0</v>
      </c>
    </row>
    <row r="112" spans="2:15" ht="12.75">
      <c r="B112" t="s">
        <v>220</v>
      </c>
      <c r="G112" s="38">
        <v>0</v>
      </c>
      <c r="I112" s="38">
        <v>0</v>
      </c>
      <c r="K112" s="37">
        <f>-S310</f>
        <v>0</v>
      </c>
      <c r="O112" s="39">
        <f t="shared" si="14"/>
        <v>0</v>
      </c>
    </row>
    <row r="113" spans="2:15" ht="12.75">
      <c r="B113" t="str">
        <f>B295</f>
        <v>Preferred Stock - A</v>
      </c>
      <c r="G113" s="38">
        <v>0</v>
      </c>
      <c r="I113" s="38">
        <v>0</v>
      </c>
      <c r="K113" s="37">
        <f aca="true" t="shared" si="15" ref="K113:K118">S295</f>
        <v>10</v>
      </c>
      <c r="O113" s="39">
        <f t="shared" si="14"/>
        <v>10</v>
      </c>
    </row>
    <row r="114" spans="2:15" ht="12.75">
      <c r="B114" t="str">
        <f>B296</f>
        <v>Preferred Stock - B</v>
      </c>
      <c r="G114" s="38">
        <v>0</v>
      </c>
      <c r="I114" s="38">
        <v>0</v>
      </c>
      <c r="K114" s="37">
        <f t="shared" si="15"/>
        <v>0</v>
      </c>
      <c r="O114" s="39">
        <f t="shared" si="14"/>
        <v>0</v>
      </c>
    </row>
    <row r="115" spans="2:15" ht="12.75">
      <c r="B115" t="str">
        <f>B297</f>
        <v>Common - Sponsor</v>
      </c>
      <c r="G115" s="38">
        <v>0</v>
      </c>
      <c r="I115" s="38">
        <v>0</v>
      </c>
      <c r="K115" s="37">
        <f t="shared" si="15"/>
        <v>233.6364471574999</v>
      </c>
      <c r="O115" s="39">
        <f t="shared" si="14"/>
        <v>233.6364471574999</v>
      </c>
    </row>
    <row r="116" spans="2:15" ht="12.75">
      <c r="B116" t="str">
        <f>B298</f>
        <v>Management Rollover</v>
      </c>
      <c r="G116" s="38">
        <v>0</v>
      </c>
      <c r="I116" s="38">
        <v>0</v>
      </c>
      <c r="K116" s="37">
        <f t="shared" si="15"/>
        <v>0</v>
      </c>
      <c r="O116" s="39">
        <f t="shared" si="14"/>
        <v>0</v>
      </c>
    </row>
    <row r="117" spans="2:15" ht="12.75">
      <c r="B117" t="str">
        <f>B299</f>
        <v>Investor Rollover</v>
      </c>
      <c r="G117" s="38">
        <v>0</v>
      </c>
      <c r="I117" s="38">
        <v>0</v>
      </c>
      <c r="K117" s="37">
        <f t="shared" si="15"/>
        <v>0</v>
      </c>
      <c r="O117" s="39">
        <f t="shared" si="14"/>
        <v>0</v>
      </c>
    </row>
    <row r="118" spans="2:15" ht="12.75">
      <c r="B118" t="s">
        <v>66</v>
      </c>
      <c r="G118" s="38">
        <v>0</v>
      </c>
      <c r="I118" s="38">
        <v>0</v>
      </c>
      <c r="K118" s="37">
        <f t="shared" si="15"/>
        <v>0</v>
      </c>
      <c r="O118" s="39">
        <f t="shared" si="14"/>
        <v>0</v>
      </c>
    </row>
    <row r="119" spans="2:15" ht="12.75">
      <c r="B119" t="s">
        <v>107</v>
      </c>
      <c r="G119" s="38">
        <v>0</v>
      </c>
      <c r="I119" s="38">
        <v>0</v>
      </c>
      <c r="O119" s="39">
        <f t="shared" si="14"/>
        <v>0</v>
      </c>
    </row>
    <row r="120" spans="2:15" ht="13.5" thickBot="1">
      <c r="B120" t="s">
        <v>108</v>
      </c>
      <c r="G120" s="38">
        <v>0</v>
      </c>
      <c r="I120" s="38">
        <v>0</v>
      </c>
      <c r="M120" s="37">
        <f>-S312</f>
        <v>-15.818819657499999</v>
      </c>
      <c r="O120" s="39">
        <f t="shared" si="14"/>
        <v>-15.818819657499999</v>
      </c>
    </row>
    <row r="121" spans="3:15" ht="12.75">
      <c r="C121" t="s">
        <v>109</v>
      </c>
      <c r="G121" s="108">
        <f>SUM(G111:G120)</f>
        <v>82.524</v>
      </c>
      <c r="I121" s="108">
        <f>SUM(I111:I120)</f>
        <v>97.8530000000001</v>
      </c>
      <c r="O121" s="108">
        <f>SUM(O111:O120)</f>
        <v>227.8176274999999</v>
      </c>
    </row>
    <row r="122" ht="13.5" thickBot="1"/>
    <row r="123" spans="3:15" s="10" customFormat="1" ht="13.5" thickBot="1">
      <c r="C123" s="10" t="s">
        <v>110</v>
      </c>
      <c r="G123" s="106">
        <f>G121+G108</f>
        <v>422.38800000000003</v>
      </c>
      <c r="I123" s="106">
        <f>I121+I108</f>
        <v>440.94500000000005</v>
      </c>
      <c r="O123" s="106">
        <f>O121+O108</f>
        <v>841.8587761562499</v>
      </c>
    </row>
    <row r="124" ht="13.5" thickTop="1"/>
    <row r="125" spans="1:15" s="19" customFormat="1" ht="12.75">
      <c r="A125" s="19" t="s">
        <v>111</v>
      </c>
      <c r="G125" s="109">
        <f>G123-G86</f>
        <v>0</v>
      </c>
      <c r="I125" s="109">
        <f>I123-I86</f>
        <v>0</v>
      </c>
      <c r="O125" s="109">
        <f>O123-O86</f>
        <v>0</v>
      </c>
    </row>
    <row r="127" spans="1:35" ht="12.75">
      <c r="A127" s="4" t="s">
        <v>241</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ht="12.75">
      <c r="A128" s="3" t="str">
        <f>$A$2</f>
        <v>($ in millions, except per share data)</v>
      </c>
    </row>
    <row r="129" spans="15:35" ht="13.5" thickBot="1">
      <c r="O129" s="22" t="str">
        <f>O$46</f>
        <v>2 Mos.</v>
      </c>
      <c r="Q129" s="20" t="str">
        <f>Q$245</f>
        <v>Projected Fiscal Years Ending September 30,</v>
      </c>
      <c r="R129" s="20"/>
      <c r="S129" s="20"/>
      <c r="T129" s="20"/>
      <c r="U129" s="20"/>
      <c r="V129" s="20"/>
      <c r="W129" s="20"/>
      <c r="X129" s="20"/>
      <c r="Y129" s="20"/>
      <c r="Z129" s="20"/>
      <c r="AA129" s="20"/>
      <c r="AB129" s="20"/>
      <c r="AC129" s="20"/>
      <c r="AD129" s="20"/>
      <c r="AE129" s="20"/>
      <c r="AF129" s="20"/>
      <c r="AG129" s="20"/>
      <c r="AH129" s="20"/>
      <c r="AI129" s="20"/>
    </row>
    <row r="130" spans="15:35" ht="12.75">
      <c r="O130" s="22" t="str">
        <f>O$47</f>
        <v>Ending</v>
      </c>
      <c r="Q130" s="81">
        <f>Q$246</f>
        <v>1</v>
      </c>
      <c r="S130" s="81">
        <f>S$246</f>
        <v>2</v>
      </c>
      <c r="U130" s="81">
        <f>U$246</f>
        <v>3</v>
      </c>
      <c r="W130" s="81">
        <f>W$246</f>
        <v>4</v>
      </c>
      <c r="Y130" s="81">
        <f>Y$246</f>
        <v>5</v>
      </c>
      <c r="AA130" s="81">
        <f>AA$246</f>
        <v>6</v>
      </c>
      <c r="AC130" s="81">
        <f>AC$246</f>
        <v>7</v>
      </c>
      <c r="AE130" s="81">
        <f>AE$246</f>
        <v>8</v>
      </c>
      <c r="AG130" s="81">
        <f>AG$246</f>
        <v>9</v>
      </c>
      <c r="AI130" s="81">
        <f>AI$246</f>
        <v>10</v>
      </c>
    </row>
    <row r="131" spans="15:35" ht="13.5" thickBot="1">
      <c r="O131" s="97" t="str">
        <f>O$48</f>
        <v>9/30/2008</v>
      </c>
      <c r="Q131" s="82">
        <f>Q$247</f>
        <v>2008</v>
      </c>
      <c r="S131" s="82">
        <f>S$247</f>
        <v>2009</v>
      </c>
      <c r="U131" s="82">
        <f>U$247</f>
        <v>2010</v>
      </c>
      <c r="W131" s="82">
        <f>W$247</f>
        <v>2011</v>
      </c>
      <c r="Y131" s="82">
        <f>Y$247</f>
        <v>2012</v>
      </c>
      <c r="AA131" s="82">
        <f>AA$247</f>
        <v>2013</v>
      </c>
      <c r="AC131" s="82">
        <f>AC$247</f>
        <v>2014</v>
      </c>
      <c r="AE131" s="82">
        <f>AE$247</f>
        <v>2015</v>
      </c>
      <c r="AG131" s="82">
        <f>AG$247</f>
        <v>2016</v>
      </c>
      <c r="AI131" s="82">
        <f>AI$247</f>
        <v>2017</v>
      </c>
    </row>
    <row r="132" ht="4.5" customHeight="1"/>
    <row r="133" spans="1:35" ht="12.75">
      <c r="A133" t="s">
        <v>242</v>
      </c>
      <c r="O133" s="159">
        <f>libor</f>
        <v>0.0278</v>
      </c>
      <c r="Q133" s="127">
        <v>0.03451</v>
      </c>
      <c r="R133" s="127"/>
      <c r="S133" s="127">
        <v>0.0403</v>
      </c>
      <c r="T133" s="127"/>
      <c r="U133" s="127">
        <v>0.0436</v>
      </c>
      <c r="V133" s="127"/>
      <c r="W133" s="127">
        <v>0.0465</v>
      </c>
      <c r="X133" s="127"/>
      <c r="Y133" s="127">
        <v>0.0481</v>
      </c>
      <c r="Z133" s="127"/>
      <c r="AA133" s="127">
        <v>0.0495</v>
      </c>
      <c r="AB133" s="127"/>
      <c r="AC133" s="127">
        <v>0.0505</v>
      </c>
      <c r="AD133" s="127"/>
      <c r="AE133" s="127">
        <v>0.0508</v>
      </c>
      <c r="AF133" s="127"/>
      <c r="AG133" s="127">
        <v>0.0515</v>
      </c>
      <c r="AH133" s="127"/>
      <c r="AI133" s="127">
        <v>0.0513</v>
      </c>
    </row>
    <row r="134" spans="15:35" ht="12.75">
      <c r="O134" s="159"/>
      <c r="Q134" s="127"/>
      <c r="R134" s="127"/>
      <c r="S134" s="127"/>
      <c r="T134" s="127"/>
      <c r="U134" s="127"/>
      <c r="V134" s="127"/>
      <c r="W134" s="127"/>
      <c r="X134" s="127"/>
      <c r="Y134" s="127"/>
      <c r="Z134" s="127"/>
      <c r="AA134" s="127"/>
      <c r="AB134" s="127"/>
      <c r="AC134" s="127"/>
      <c r="AD134" s="127"/>
      <c r="AE134" s="127"/>
      <c r="AF134" s="127"/>
      <c r="AG134" s="127"/>
      <c r="AH134" s="127"/>
      <c r="AI134" s="127"/>
    </row>
    <row r="135" spans="1:35" ht="13.5" thickBot="1">
      <c r="A135" s="83" t="s">
        <v>243</v>
      </c>
      <c r="M135" s="161" t="s">
        <v>246</v>
      </c>
      <c r="O135" s="159"/>
      <c r="Q135" s="127"/>
      <c r="R135" s="127"/>
      <c r="S135" s="127"/>
      <c r="T135" s="127"/>
      <c r="U135" s="127"/>
      <c r="V135" s="127"/>
      <c r="W135" s="127"/>
      <c r="X135" s="127"/>
      <c r="Y135" s="127"/>
      <c r="Z135" s="127"/>
      <c r="AA135" s="127"/>
      <c r="AB135" s="127"/>
      <c r="AC135" s="127"/>
      <c r="AD135" s="127"/>
      <c r="AE135" s="127"/>
      <c r="AF135" s="127"/>
      <c r="AG135" s="127"/>
      <c r="AH135" s="127"/>
      <c r="AI135" s="127"/>
    </row>
    <row r="136" spans="1:35" ht="12.75">
      <c r="A136" s="83"/>
      <c r="B136" t="s">
        <v>244</v>
      </c>
      <c r="M136" s="162"/>
      <c r="O136" s="159">
        <f>AO21</f>
        <v>0.025</v>
      </c>
      <c r="Q136" s="159">
        <f>O136</f>
        <v>0.025</v>
      </c>
      <c r="R136" s="127"/>
      <c r="S136" s="159">
        <f>Q136</f>
        <v>0.025</v>
      </c>
      <c r="T136" s="127"/>
      <c r="U136" s="159">
        <f>S136</f>
        <v>0.025</v>
      </c>
      <c r="V136" s="127"/>
      <c r="W136" s="159">
        <f>U136</f>
        <v>0.025</v>
      </c>
      <c r="X136" s="127"/>
      <c r="Y136" s="159">
        <f>W136</f>
        <v>0.025</v>
      </c>
      <c r="Z136" s="127"/>
      <c r="AA136" s="159">
        <f>Y136</f>
        <v>0.025</v>
      </c>
      <c r="AB136" s="127"/>
      <c r="AC136" s="159">
        <f>AA136</f>
        <v>0.025</v>
      </c>
      <c r="AD136" s="127"/>
      <c r="AE136" s="159">
        <f>AC136</f>
        <v>0.025</v>
      </c>
      <c r="AF136" s="127"/>
      <c r="AG136" s="159">
        <f>AE136</f>
        <v>0.025</v>
      </c>
      <c r="AH136" s="127"/>
      <c r="AI136" s="159">
        <f>AG136</f>
        <v>0.025</v>
      </c>
    </row>
    <row r="137" spans="2:35" ht="12.75">
      <c r="B137" t="str">
        <f>B288</f>
        <v>Revolver</v>
      </c>
      <c r="M137" s="134">
        <v>0.0425</v>
      </c>
      <c r="O137" s="163">
        <f>$M137+O$133</f>
        <v>0.0703</v>
      </c>
      <c r="Q137" s="163">
        <f>$M137+Q$133</f>
        <v>0.07701</v>
      </c>
      <c r="R137" s="127"/>
      <c r="S137" s="163">
        <f>$M137+S$133</f>
        <v>0.08280000000000001</v>
      </c>
      <c r="T137" s="127"/>
      <c r="U137" s="163">
        <f>$M137+U$133</f>
        <v>0.08610000000000001</v>
      </c>
      <c r="V137" s="127"/>
      <c r="W137" s="163">
        <f>$M137+W$133</f>
        <v>0.089</v>
      </c>
      <c r="X137" s="127"/>
      <c r="Y137" s="163">
        <f>$M137+Y$133</f>
        <v>0.0906</v>
      </c>
      <c r="Z137" s="127"/>
      <c r="AA137" s="163">
        <f>$M137+AA$133</f>
        <v>0.092</v>
      </c>
      <c r="AB137" s="127"/>
      <c r="AC137" s="163">
        <f>$M137+AC$133</f>
        <v>0.093</v>
      </c>
      <c r="AD137" s="127"/>
      <c r="AE137" s="163">
        <f>$M137+AE$133</f>
        <v>0.0933</v>
      </c>
      <c r="AF137" s="127"/>
      <c r="AG137" s="163">
        <f>$M137+AG$133</f>
        <v>0.094</v>
      </c>
      <c r="AH137" s="127"/>
      <c r="AI137" s="163">
        <f>$M137+AI$133</f>
        <v>0.0938</v>
      </c>
    </row>
    <row r="138" spans="2:35" ht="12.75">
      <c r="B138" t="str">
        <f aca="true" t="shared" si="16" ref="B138:B145">B289</f>
        <v>Term Loan - A</v>
      </c>
      <c r="M138" s="134">
        <v>0.0479</v>
      </c>
      <c r="O138" s="163">
        <f aca="true" t="shared" si="17" ref="O138:AI140">$M138+O$133</f>
        <v>0.07569999999999999</v>
      </c>
      <c r="Q138" s="163">
        <f t="shared" si="17"/>
        <v>0.08241</v>
      </c>
      <c r="R138" s="127"/>
      <c r="S138" s="163">
        <f t="shared" si="17"/>
        <v>0.0882</v>
      </c>
      <c r="T138" s="127"/>
      <c r="U138" s="163">
        <f t="shared" si="17"/>
        <v>0.0915</v>
      </c>
      <c r="V138" s="127"/>
      <c r="W138" s="163">
        <f t="shared" si="17"/>
        <v>0.0944</v>
      </c>
      <c r="X138" s="127"/>
      <c r="Y138" s="163">
        <f t="shared" si="17"/>
        <v>0.096</v>
      </c>
      <c r="Z138" s="127"/>
      <c r="AA138" s="163">
        <f t="shared" si="17"/>
        <v>0.0974</v>
      </c>
      <c r="AB138" s="127"/>
      <c r="AC138" s="163">
        <f t="shared" si="17"/>
        <v>0.0984</v>
      </c>
      <c r="AD138" s="127"/>
      <c r="AE138" s="163">
        <f t="shared" si="17"/>
        <v>0.0987</v>
      </c>
      <c r="AF138" s="127"/>
      <c r="AG138" s="163">
        <f t="shared" si="17"/>
        <v>0.09939999999999999</v>
      </c>
      <c r="AH138" s="127"/>
      <c r="AI138" s="163">
        <f t="shared" si="17"/>
        <v>0.0992</v>
      </c>
    </row>
    <row r="139" spans="2:35" ht="12.75">
      <c r="B139" t="str">
        <f t="shared" si="16"/>
        <v>Term Loan - B</v>
      </c>
      <c r="M139" s="134">
        <v>0.06</v>
      </c>
      <c r="O139" s="163">
        <f t="shared" si="17"/>
        <v>0.08779999999999999</v>
      </c>
      <c r="Q139" s="163">
        <f t="shared" si="17"/>
        <v>0.09451</v>
      </c>
      <c r="R139" s="127"/>
      <c r="S139" s="163">
        <f t="shared" si="17"/>
        <v>0.1003</v>
      </c>
      <c r="T139" s="127"/>
      <c r="U139" s="163">
        <f t="shared" si="17"/>
        <v>0.1036</v>
      </c>
      <c r="V139" s="127"/>
      <c r="W139" s="163">
        <f t="shared" si="17"/>
        <v>0.1065</v>
      </c>
      <c r="X139" s="127"/>
      <c r="Y139" s="163">
        <f t="shared" si="17"/>
        <v>0.1081</v>
      </c>
      <c r="Z139" s="127"/>
      <c r="AA139" s="163">
        <f t="shared" si="17"/>
        <v>0.1095</v>
      </c>
      <c r="AB139" s="127"/>
      <c r="AC139" s="163">
        <f t="shared" si="17"/>
        <v>0.1105</v>
      </c>
      <c r="AD139" s="127"/>
      <c r="AE139" s="163">
        <f t="shared" si="17"/>
        <v>0.1108</v>
      </c>
      <c r="AF139" s="127"/>
      <c r="AG139" s="163">
        <f t="shared" si="17"/>
        <v>0.11149999999999999</v>
      </c>
      <c r="AH139" s="127"/>
      <c r="AI139" s="163">
        <f t="shared" si="17"/>
        <v>0.1113</v>
      </c>
    </row>
    <row r="140" spans="2:35" ht="12.75">
      <c r="B140" t="str">
        <f t="shared" si="16"/>
        <v>Senior Note</v>
      </c>
      <c r="M140" s="134">
        <v>0.065</v>
      </c>
      <c r="O140" s="163">
        <f t="shared" si="17"/>
        <v>0.0928</v>
      </c>
      <c r="Q140" s="163">
        <f t="shared" si="17"/>
        <v>0.09951</v>
      </c>
      <c r="R140" s="127"/>
      <c r="S140" s="163">
        <f t="shared" si="17"/>
        <v>0.1053</v>
      </c>
      <c r="T140" s="127"/>
      <c r="U140" s="163">
        <f t="shared" si="17"/>
        <v>0.1086</v>
      </c>
      <c r="V140" s="127"/>
      <c r="W140" s="163">
        <f t="shared" si="17"/>
        <v>0.1115</v>
      </c>
      <c r="X140" s="127"/>
      <c r="Y140" s="163">
        <f t="shared" si="17"/>
        <v>0.1131</v>
      </c>
      <c r="Z140" s="127"/>
      <c r="AA140" s="163">
        <f t="shared" si="17"/>
        <v>0.1145</v>
      </c>
      <c r="AB140" s="127"/>
      <c r="AC140" s="163">
        <f t="shared" si="17"/>
        <v>0.1155</v>
      </c>
      <c r="AD140" s="127"/>
      <c r="AE140" s="163">
        <f t="shared" si="17"/>
        <v>0.1158</v>
      </c>
      <c r="AF140" s="127"/>
      <c r="AG140" s="163">
        <f t="shared" si="17"/>
        <v>0.11649999999999999</v>
      </c>
      <c r="AH140" s="127"/>
      <c r="AI140" s="163">
        <f t="shared" si="17"/>
        <v>0.1163</v>
      </c>
    </row>
    <row r="141" spans="2:35" ht="12.75">
      <c r="B141" t="str">
        <f t="shared" si="16"/>
        <v>Subordinated Note</v>
      </c>
      <c r="O141" s="164">
        <v>0.1025</v>
      </c>
      <c r="Q141" s="159">
        <f>O141</f>
        <v>0.1025</v>
      </c>
      <c r="R141" s="127"/>
      <c r="S141" s="159">
        <f>Q141</f>
        <v>0.1025</v>
      </c>
      <c r="T141" s="127"/>
      <c r="U141" s="159">
        <f>S141</f>
        <v>0.1025</v>
      </c>
      <c r="V141" s="127"/>
      <c r="W141" s="159">
        <f>U141</f>
        <v>0.1025</v>
      </c>
      <c r="X141" s="127"/>
      <c r="Y141" s="159">
        <f>W141</f>
        <v>0.1025</v>
      </c>
      <c r="Z141" s="127"/>
      <c r="AA141" s="159">
        <f>Y141</f>
        <v>0.1025</v>
      </c>
      <c r="AB141" s="127"/>
      <c r="AC141" s="159">
        <f>AA141</f>
        <v>0.1025</v>
      </c>
      <c r="AD141" s="127"/>
      <c r="AE141" s="159">
        <f>AC141</f>
        <v>0.1025</v>
      </c>
      <c r="AF141" s="127"/>
      <c r="AG141" s="159">
        <f>AE141</f>
        <v>0.1025</v>
      </c>
      <c r="AH141" s="127"/>
      <c r="AI141" s="159">
        <f>AG141</f>
        <v>0.1025</v>
      </c>
    </row>
    <row r="142" spans="2:35" ht="12.75">
      <c r="B142" t="str">
        <f t="shared" si="16"/>
        <v>Mezzanine</v>
      </c>
      <c r="O142" s="164">
        <v>0.105</v>
      </c>
      <c r="Q142" s="159">
        <f aca="true" t="shared" si="18" ref="Q142:AI145">O142</f>
        <v>0.105</v>
      </c>
      <c r="R142" s="127"/>
      <c r="S142" s="159">
        <f t="shared" si="18"/>
        <v>0.105</v>
      </c>
      <c r="T142" s="127"/>
      <c r="U142" s="159">
        <f t="shared" si="18"/>
        <v>0.105</v>
      </c>
      <c r="V142" s="127"/>
      <c r="W142" s="159">
        <f t="shared" si="18"/>
        <v>0.105</v>
      </c>
      <c r="X142" s="127"/>
      <c r="Y142" s="159">
        <f t="shared" si="18"/>
        <v>0.105</v>
      </c>
      <c r="Z142" s="127"/>
      <c r="AA142" s="159">
        <f t="shared" si="18"/>
        <v>0.105</v>
      </c>
      <c r="AB142" s="127"/>
      <c r="AC142" s="159">
        <f t="shared" si="18"/>
        <v>0.105</v>
      </c>
      <c r="AD142" s="127"/>
      <c r="AE142" s="159">
        <f t="shared" si="18"/>
        <v>0.105</v>
      </c>
      <c r="AF142" s="127"/>
      <c r="AG142" s="159">
        <f t="shared" si="18"/>
        <v>0.105</v>
      </c>
      <c r="AH142" s="127"/>
      <c r="AI142" s="159">
        <f t="shared" si="18"/>
        <v>0.105</v>
      </c>
    </row>
    <row r="143" spans="2:35" ht="12.75">
      <c r="B143" t="str">
        <f t="shared" si="16"/>
        <v>Seller Note</v>
      </c>
      <c r="O143" s="164">
        <v>0.105</v>
      </c>
      <c r="Q143" s="159">
        <f t="shared" si="18"/>
        <v>0.105</v>
      </c>
      <c r="R143" s="127"/>
      <c r="S143" s="159">
        <f t="shared" si="18"/>
        <v>0.105</v>
      </c>
      <c r="T143" s="127"/>
      <c r="U143" s="159">
        <f t="shared" si="18"/>
        <v>0.105</v>
      </c>
      <c r="V143" s="127"/>
      <c r="W143" s="159">
        <f t="shared" si="18"/>
        <v>0.105</v>
      </c>
      <c r="X143" s="127"/>
      <c r="Y143" s="159">
        <f t="shared" si="18"/>
        <v>0.105</v>
      </c>
      <c r="Z143" s="127"/>
      <c r="AA143" s="159">
        <f t="shared" si="18"/>
        <v>0.105</v>
      </c>
      <c r="AB143" s="127"/>
      <c r="AC143" s="159">
        <f t="shared" si="18"/>
        <v>0.105</v>
      </c>
      <c r="AD143" s="127"/>
      <c r="AE143" s="159">
        <f t="shared" si="18"/>
        <v>0.105</v>
      </c>
      <c r="AF143" s="127"/>
      <c r="AG143" s="159">
        <f t="shared" si="18"/>
        <v>0.105</v>
      </c>
      <c r="AH143" s="127"/>
      <c r="AI143" s="159">
        <f t="shared" si="18"/>
        <v>0.105</v>
      </c>
    </row>
    <row r="144" spans="2:35" ht="12.75">
      <c r="B144" t="str">
        <f t="shared" si="16"/>
        <v>Preferred Stock - A</v>
      </c>
      <c r="O144" s="164">
        <v>0.14</v>
      </c>
      <c r="Q144" s="159">
        <f t="shared" si="18"/>
        <v>0.14</v>
      </c>
      <c r="S144" s="159">
        <f t="shared" si="18"/>
        <v>0.14</v>
      </c>
      <c r="U144" s="159">
        <f t="shared" si="18"/>
        <v>0.14</v>
      </c>
      <c r="W144" s="159">
        <f t="shared" si="18"/>
        <v>0.14</v>
      </c>
      <c r="Y144" s="159">
        <f t="shared" si="18"/>
        <v>0.14</v>
      </c>
      <c r="AA144" s="159">
        <f t="shared" si="18"/>
        <v>0.14</v>
      </c>
      <c r="AC144" s="159">
        <f t="shared" si="18"/>
        <v>0.14</v>
      </c>
      <c r="AE144" s="159">
        <f t="shared" si="18"/>
        <v>0.14</v>
      </c>
      <c r="AG144" s="159">
        <f t="shared" si="18"/>
        <v>0.14</v>
      </c>
      <c r="AI144" s="159">
        <f t="shared" si="18"/>
        <v>0.14</v>
      </c>
    </row>
    <row r="145" spans="2:35" ht="12.75">
      <c r="B145" t="str">
        <f t="shared" si="16"/>
        <v>Preferred Stock - B</v>
      </c>
      <c r="O145" s="164">
        <v>0.1425</v>
      </c>
      <c r="Q145" s="159">
        <f t="shared" si="18"/>
        <v>0.1425</v>
      </c>
      <c r="S145" s="159">
        <f t="shared" si="18"/>
        <v>0.1425</v>
      </c>
      <c r="U145" s="159">
        <f t="shared" si="18"/>
        <v>0.1425</v>
      </c>
      <c r="W145" s="159">
        <f t="shared" si="18"/>
        <v>0.1425</v>
      </c>
      <c r="Y145" s="159">
        <f t="shared" si="18"/>
        <v>0.1425</v>
      </c>
      <c r="AA145" s="159">
        <f t="shared" si="18"/>
        <v>0.1425</v>
      </c>
      <c r="AC145" s="159">
        <f t="shared" si="18"/>
        <v>0.1425</v>
      </c>
      <c r="AE145" s="159">
        <f t="shared" si="18"/>
        <v>0.1425</v>
      </c>
      <c r="AG145" s="159">
        <f t="shared" si="18"/>
        <v>0.1425</v>
      </c>
      <c r="AI145" s="159">
        <f t="shared" si="18"/>
        <v>0.1425</v>
      </c>
    </row>
    <row r="147" spans="2:7" ht="12.75">
      <c r="B147" t="s">
        <v>245</v>
      </c>
      <c r="G147" s="127">
        <v>0.005</v>
      </c>
    </row>
    <row r="149" ht="12.75">
      <c r="A149" s="83" t="s">
        <v>248</v>
      </c>
    </row>
    <row r="150" spans="5:13" ht="12.75">
      <c r="E150" s="110" t="s">
        <v>249</v>
      </c>
      <c r="G150" s="110" t="s">
        <v>250</v>
      </c>
      <c r="M150" s="6"/>
    </row>
    <row r="151" spans="5:13" ht="13.5" thickBot="1">
      <c r="E151" s="161" t="s">
        <v>251</v>
      </c>
      <c r="G151" s="161" t="s">
        <v>252</v>
      </c>
      <c r="I151" s="161" t="s">
        <v>253</v>
      </c>
      <c r="K151" s="161" t="s">
        <v>254</v>
      </c>
      <c r="M151" s="161" t="s">
        <v>255</v>
      </c>
    </row>
    <row r="152" spans="2:35" ht="12.75">
      <c r="B152" t="s">
        <v>244</v>
      </c>
      <c r="E152" s="37">
        <f>S286</f>
        <v>230</v>
      </c>
      <c r="G152" s="166">
        <v>0</v>
      </c>
      <c r="I152" s="129">
        <v>0</v>
      </c>
      <c r="J152" s="6"/>
      <c r="K152" s="167">
        <v>5</v>
      </c>
      <c r="L152" s="6"/>
      <c r="M152" s="167">
        <v>0</v>
      </c>
      <c r="O152" s="168">
        <f aca="true" t="shared" si="19" ref="O152:O158">stub*G152</f>
        <v>0</v>
      </c>
      <c r="Q152" s="168">
        <f>O152</f>
        <v>0</v>
      </c>
      <c r="S152" s="168">
        <f>IF(S$130&lt;=$K152,MIN($G152,1-SUM($Q152:Q152)),1-SUM($Q152:Q152))</f>
        <v>0</v>
      </c>
      <c r="U152" s="168">
        <f>IF(U$130&lt;=$K152,MIN($G152,1-SUM($Q152:S152)),1-SUM($Q152:S152))</f>
        <v>0</v>
      </c>
      <c r="W152" s="168">
        <f>IF(W$130&lt;=$K152,MIN($G152,1-SUM($Q152:U152)),1-SUM($Q152:U152))</f>
        <v>0</v>
      </c>
      <c r="Y152" s="168">
        <f>IF(Y$130&lt;=$K152,MIN($G152,1-SUM($Q152:W152)),1-SUM($Q152:W152))</f>
        <v>0</v>
      </c>
      <c r="AA152" s="168">
        <f>IF(AA$130&lt;=$K152,MIN($G152,1-SUM($Q152:Y152)),1-SUM($Q152:Y152))</f>
        <v>1</v>
      </c>
      <c r="AC152" s="168">
        <f>IF(AC$130&lt;=$K152,MIN($G152,1-SUM($Q152:AA152)),1-SUM($Q152:AA152))</f>
        <v>0</v>
      </c>
      <c r="AE152" s="168">
        <f>IF(AE$130&lt;=$K152,MIN($G152,1-SUM($Q152:AC152)),1-SUM($Q152:AC152))</f>
        <v>0</v>
      </c>
      <c r="AG152" s="168">
        <f>IF(AG$130&lt;=$K152,MIN($G152,1-SUM($Q152:AE152)),1-SUM($Q152:AE152))</f>
        <v>0</v>
      </c>
      <c r="AI152" s="168">
        <f>IF(AI$130&lt;=$K152,MIN($G152,1-SUM($Q152:AG152)),1-SUM($Q152:AG152))</f>
        <v>0</v>
      </c>
    </row>
    <row r="153" spans="2:35" ht="12.75">
      <c r="B153" t="str">
        <f aca="true" t="shared" si="20" ref="B153:B158">B289</f>
        <v>Term Loan - A</v>
      </c>
      <c r="E153" s="37">
        <f aca="true" t="shared" si="21" ref="E153:E158">S289</f>
        <v>150</v>
      </c>
      <c r="G153" s="35">
        <f>1/5</f>
        <v>0.2</v>
      </c>
      <c r="I153" s="129">
        <v>1</v>
      </c>
      <c r="J153" s="6"/>
      <c r="K153" s="167">
        <v>5</v>
      </c>
      <c r="L153" s="6"/>
      <c r="M153" s="167">
        <v>0</v>
      </c>
      <c r="O153" s="168">
        <f t="shared" si="19"/>
        <v>0.03333333333333333</v>
      </c>
      <c r="Q153" s="168">
        <f aca="true" t="shared" si="22" ref="Q153:Q158">O153</f>
        <v>0.03333333333333333</v>
      </c>
      <c r="S153" s="168">
        <f>IF(S$130&lt;=$K153,MIN($G153,1-SUM($Q153:Q153)),1-SUM($Q153:Q153))</f>
        <v>0.2</v>
      </c>
      <c r="U153" s="168">
        <f>IF(U$130&lt;=$K153,MIN($G153,1-SUM($Q153:S153)),1-SUM($Q153:S153))</f>
        <v>0.2</v>
      </c>
      <c r="W153" s="168">
        <f>IF(W$130&lt;=$K153,MIN($G153,1-SUM($Q153:U153)),1-SUM($Q153:U153))</f>
        <v>0.2</v>
      </c>
      <c r="Y153" s="168">
        <f>IF(Y$130&lt;=$K153,MIN($G153,1-SUM($Q153:W153)),1-SUM($Q153:W153))</f>
        <v>0.2</v>
      </c>
      <c r="AA153" s="168">
        <f>IF(AA$130&lt;=$K153,MIN($G153,1-SUM($Q153:Y153)),1-SUM($Q153:Y153))</f>
        <v>0.16666666666666674</v>
      </c>
      <c r="AC153" s="168">
        <f>IF(AC$130&lt;=$K153,MIN($G153,1-SUM($Q153:AA153)),1-SUM($Q153:AA153))</f>
        <v>0</v>
      </c>
      <c r="AE153" s="168">
        <f>IF(AE$130&lt;=$K153,MIN($G153,1-SUM($Q153:AC153)),1-SUM($Q153:AC153))</f>
        <v>0</v>
      </c>
      <c r="AG153" s="168">
        <f>IF(AG$130&lt;=$K153,MIN($G153,1-SUM($Q153:AE153)),1-SUM($Q153:AE153))</f>
        <v>0</v>
      </c>
      <c r="AI153" s="168">
        <f>IF(AI$130&lt;=$K153,MIN($G153,1-SUM($Q153:AG153)),1-SUM($Q153:AG153))</f>
        <v>0</v>
      </c>
    </row>
    <row r="154" spans="2:35" ht="12.75">
      <c r="B154" t="str">
        <f t="shared" si="20"/>
        <v>Term Loan - B</v>
      </c>
      <c r="E154" s="37">
        <f t="shared" si="21"/>
        <v>0</v>
      </c>
      <c r="G154" s="35">
        <v>0.05</v>
      </c>
      <c r="I154" s="129">
        <v>1</v>
      </c>
      <c r="J154" s="6"/>
      <c r="K154" s="167">
        <v>6</v>
      </c>
      <c r="L154" s="6"/>
      <c r="M154" s="167">
        <v>0</v>
      </c>
      <c r="O154" s="168">
        <f t="shared" si="19"/>
        <v>0.008333333333333333</v>
      </c>
      <c r="Q154" s="168">
        <f t="shared" si="22"/>
        <v>0.008333333333333333</v>
      </c>
      <c r="S154" s="168">
        <f>IF(S$130&lt;=$K154,MIN($G154,1-SUM($Q154:Q154)),1-SUM($Q154:Q154))</f>
        <v>0.05</v>
      </c>
      <c r="U154" s="168">
        <f>IF(U$130&lt;=$K154,MIN($G154,1-SUM($Q154:S154)),1-SUM($Q154:S154))</f>
        <v>0.05</v>
      </c>
      <c r="W154" s="168">
        <f>IF(W$130&lt;=$K154,MIN($G154,1-SUM($Q154:U154)),1-SUM($Q154:U154))</f>
        <v>0.05</v>
      </c>
      <c r="Y154" s="168">
        <f>IF(Y$130&lt;=$K154,MIN($G154,1-SUM($Q154:W154)),1-SUM($Q154:W154))</f>
        <v>0.05</v>
      </c>
      <c r="AA154" s="168">
        <f>IF(AA$130&lt;=$K154,MIN($G154,1-SUM($Q154:Y154)),1-SUM($Q154:Y154))</f>
        <v>0.05</v>
      </c>
      <c r="AC154" s="168">
        <f>IF(AC$130&lt;=$K154,MIN($G154,1-SUM($Q154:AA154)),1-SUM($Q154:AA154))</f>
        <v>0.7416666666666667</v>
      </c>
      <c r="AE154" s="168">
        <f>IF(AE$130&lt;=$K154,MIN($G154,1-SUM($Q154:AC154)),1-SUM($Q154:AC154))</f>
        <v>0</v>
      </c>
      <c r="AG154" s="168">
        <f>IF(AG$130&lt;=$K154,MIN($G154,1-SUM($Q154:AE154)),1-SUM($Q154:AE154))</f>
        <v>0</v>
      </c>
      <c r="AI154" s="168">
        <f>IF(AI$130&lt;=$K154,MIN($G154,1-SUM($Q154:AG154)),1-SUM($Q154:AG154))</f>
        <v>0</v>
      </c>
    </row>
    <row r="155" spans="2:35" ht="12.75">
      <c r="B155" t="str">
        <f t="shared" si="20"/>
        <v>Senior Note</v>
      </c>
      <c r="E155" s="37">
        <f t="shared" si="21"/>
        <v>75</v>
      </c>
      <c r="G155" s="35">
        <v>0</v>
      </c>
      <c r="I155" s="129">
        <v>0</v>
      </c>
      <c r="J155" s="6"/>
      <c r="K155" s="167">
        <v>4</v>
      </c>
      <c r="L155" s="6"/>
      <c r="M155" s="167">
        <v>0</v>
      </c>
      <c r="O155" s="168">
        <f t="shared" si="19"/>
        <v>0</v>
      </c>
      <c r="Q155" s="168">
        <f t="shared" si="22"/>
        <v>0</v>
      </c>
      <c r="S155" s="168">
        <f>IF(S$130&lt;=$K155,MIN($G155,1-SUM($Q155:Q155)),1-SUM($Q155:Q155))</f>
        <v>0</v>
      </c>
      <c r="U155" s="168">
        <f>IF(U$130&lt;=$K155,MIN($G155,1-SUM($Q155:S155)),1-SUM($Q155:S155))</f>
        <v>0</v>
      </c>
      <c r="W155" s="168">
        <f>IF(W$130&lt;=$K155,MIN($G155,1-SUM($Q155:U155)),1-SUM($Q155:U155))</f>
        <v>0</v>
      </c>
      <c r="Y155" s="168">
        <f>IF(Y$130&lt;=$K155,MIN($G155,1-SUM($Q155:W155)),1-SUM($Q155:W155))</f>
        <v>1</v>
      </c>
      <c r="AA155" s="168">
        <f>IF(AA$130&lt;=$K155,MIN($G155,1-SUM($Q155:Y155)),1-SUM($Q155:Y155))</f>
        <v>0</v>
      </c>
      <c r="AC155" s="168">
        <f>IF(AC$130&lt;=$K155,MIN($G155,1-SUM($Q155:AA155)),1-SUM($Q155:AA155))</f>
        <v>0</v>
      </c>
      <c r="AE155" s="168">
        <f>IF(AE$130&lt;=$K155,MIN($G155,1-SUM($Q155:AC155)),1-SUM($Q155:AC155))</f>
        <v>0</v>
      </c>
      <c r="AG155" s="168">
        <f>IF(AG$130&lt;=$K155,MIN($G155,1-SUM($Q155:AE155)),1-SUM($Q155:AE155))</f>
        <v>0</v>
      </c>
      <c r="AI155" s="168">
        <f>IF(AI$130&lt;=$K155,MIN($G155,1-SUM($Q155:AG155)),1-SUM($Q155:AG155))</f>
        <v>0</v>
      </c>
    </row>
    <row r="156" spans="2:35" ht="12.75">
      <c r="B156" t="str">
        <f t="shared" si="20"/>
        <v>Subordinated Note</v>
      </c>
      <c r="E156" s="37">
        <f t="shared" si="21"/>
        <v>0</v>
      </c>
      <c r="G156" s="35">
        <v>0</v>
      </c>
      <c r="I156" s="129">
        <v>0</v>
      </c>
      <c r="J156" s="6"/>
      <c r="K156" s="167">
        <v>4</v>
      </c>
      <c r="L156" s="6"/>
      <c r="M156" s="167">
        <v>5</v>
      </c>
      <c r="O156" s="168">
        <f t="shared" si="19"/>
        <v>0</v>
      </c>
      <c r="Q156" s="168">
        <f t="shared" si="22"/>
        <v>0</v>
      </c>
      <c r="S156" s="168">
        <f>IF(S$130&lt;=$K156,MIN($G156,1-SUM($Q156:Q156)),1-SUM($Q156:Q156))</f>
        <v>0</v>
      </c>
      <c r="U156" s="168">
        <f>IF(U$130&lt;=$K156,MIN($G156,1-SUM($Q156:S156)),1-SUM($Q156:S156))</f>
        <v>0</v>
      </c>
      <c r="W156" s="168">
        <f>IF(W$130&lt;=$K156,MIN($G156,1-SUM($Q156:U156)),1-SUM($Q156:U156))</f>
        <v>0</v>
      </c>
      <c r="Y156" s="168">
        <f>IF(Y$130&lt;=$K156,MIN($G156,1-SUM($Q156:W156)),1-SUM($Q156:W156))</f>
        <v>1</v>
      </c>
      <c r="AA156" s="168">
        <f>IF(AA$130&lt;=$K156,MIN($G156,1-SUM($Q156:Y156)),1-SUM($Q156:Y156))</f>
        <v>0</v>
      </c>
      <c r="AC156" s="168">
        <f>IF(AC$130&lt;=$K156,MIN($G156,1-SUM($Q156:AA156)),1-SUM($Q156:AA156))</f>
        <v>0</v>
      </c>
      <c r="AE156" s="168">
        <f>IF(AE$130&lt;=$K156,MIN($G156,1-SUM($Q156:AC156)),1-SUM($Q156:AC156))</f>
        <v>0</v>
      </c>
      <c r="AG156" s="168">
        <f>IF(AG$130&lt;=$K156,MIN($G156,1-SUM($Q156:AE156)),1-SUM($Q156:AE156))</f>
        <v>0</v>
      </c>
      <c r="AI156" s="168">
        <f>IF(AI$130&lt;=$K156,MIN($G156,1-SUM($Q156:AG156)),1-SUM($Q156:AG156))</f>
        <v>0</v>
      </c>
    </row>
    <row r="157" spans="2:35" ht="12.75">
      <c r="B157" t="str">
        <f t="shared" si="20"/>
        <v>Mezzanine</v>
      </c>
      <c r="E157" s="37">
        <f t="shared" si="21"/>
        <v>0</v>
      </c>
      <c r="G157" s="35">
        <v>0</v>
      </c>
      <c r="I157" s="129">
        <v>0</v>
      </c>
      <c r="J157" s="6"/>
      <c r="K157" s="167">
        <v>0</v>
      </c>
      <c r="L157" s="6"/>
      <c r="M157" s="167">
        <v>0</v>
      </c>
      <c r="O157" s="168">
        <f t="shared" si="19"/>
        <v>0</v>
      </c>
      <c r="Q157" s="168">
        <f t="shared" si="22"/>
        <v>0</v>
      </c>
      <c r="S157" s="168">
        <f>IF(S$130&lt;=$K157,MIN($G157,1-SUM($Q157:Q157)),1-SUM($Q157:Q157))</f>
        <v>1</v>
      </c>
      <c r="U157" s="168">
        <f>IF(U$130&lt;=$K157,MIN($G157,1-SUM($Q157:S157)),1-SUM($Q157:S157))</f>
        <v>0</v>
      </c>
      <c r="W157" s="168">
        <f>IF(W$130&lt;=$K157,MIN($G157,1-SUM($Q157:U157)),1-SUM($Q157:U157))</f>
        <v>0</v>
      </c>
      <c r="Y157" s="168">
        <f>IF(Y$130&lt;=$K157,MIN($G157,1-SUM($Q157:W157)),1-SUM($Q157:W157))</f>
        <v>0</v>
      </c>
      <c r="AA157" s="168">
        <f>IF(AA$130&lt;=$K157,MIN($G157,1-SUM($Q157:Y157)),1-SUM($Q157:Y157))</f>
        <v>0</v>
      </c>
      <c r="AC157" s="168">
        <f>IF(AC$130&lt;=$K157,MIN($G157,1-SUM($Q157:AA157)),1-SUM($Q157:AA157))</f>
        <v>0</v>
      </c>
      <c r="AE157" s="168">
        <f>IF(AE$130&lt;=$K157,MIN($G157,1-SUM($Q157:AC157)),1-SUM($Q157:AC157))</f>
        <v>0</v>
      </c>
      <c r="AG157" s="168">
        <f>IF(AG$130&lt;=$K157,MIN($G157,1-SUM($Q157:AE157)),1-SUM($Q157:AE157))</f>
        <v>0</v>
      </c>
      <c r="AI157" s="168">
        <f>IF(AI$130&lt;=$K157,MIN($G157,1-SUM($Q157:AG157)),1-SUM($Q157:AG157))</f>
        <v>0</v>
      </c>
    </row>
    <row r="158" spans="2:35" ht="12.75">
      <c r="B158" t="str">
        <f t="shared" si="20"/>
        <v>Seller Note</v>
      </c>
      <c r="E158" s="37">
        <f t="shared" si="21"/>
        <v>0</v>
      </c>
      <c r="G158" s="35">
        <v>0</v>
      </c>
      <c r="I158" s="129">
        <v>1</v>
      </c>
      <c r="J158" s="6"/>
      <c r="K158" s="167">
        <v>8</v>
      </c>
      <c r="L158" s="6"/>
      <c r="M158" s="167">
        <v>2</v>
      </c>
      <c r="O158" s="168">
        <f t="shared" si="19"/>
        <v>0</v>
      </c>
      <c r="Q158" s="168">
        <f t="shared" si="22"/>
        <v>0</v>
      </c>
      <c r="S158" s="168">
        <f>IF(S$130&lt;=$K158,MIN($G158,1-SUM($Q158:Q158)),1-SUM($Q158:Q158))</f>
        <v>0</v>
      </c>
      <c r="U158" s="168">
        <f>IF(U$130&lt;=$K158,MIN($G158,1-SUM($Q158:S158)),1-SUM($Q158:S158))</f>
        <v>0</v>
      </c>
      <c r="W158" s="168">
        <f>IF(W$130&lt;=$K158,MIN($G158,1-SUM($Q158:U158)),1-SUM($Q158:U158))</f>
        <v>0</v>
      </c>
      <c r="Y158" s="168">
        <f>IF(Y$130&lt;=$K158,MIN($G158,1-SUM($Q158:W158)),1-SUM($Q158:W158))</f>
        <v>0</v>
      </c>
      <c r="AA158" s="168">
        <f>IF(AA$130&lt;=$K158,MIN($G158,1-SUM($Q158:Y158)),1-SUM($Q158:Y158))</f>
        <v>0</v>
      </c>
      <c r="AC158" s="168">
        <f>IF(AC$130&lt;=$K158,MIN($G158,1-SUM($Q158:AA158)),1-SUM($Q158:AA158))</f>
        <v>0</v>
      </c>
      <c r="AE158" s="168">
        <f>IF(AE$130&lt;=$K158,MIN($G158,1-SUM($Q158:AC158)),1-SUM($Q158:AC158))</f>
        <v>0</v>
      </c>
      <c r="AG158" s="168">
        <f>IF(AG$130&lt;=$K158,MIN($G158,1-SUM($Q158:AE158)),1-SUM($Q158:AE158))</f>
        <v>1</v>
      </c>
      <c r="AI158" s="168">
        <f>IF(AI$130&lt;=$K158,MIN($G158,1-SUM($Q158:AG158)),1-SUM($Q158:AG158))</f>
        <v>0</v>
      </c>
    </row>
    <row r="160" spans="1:35" ht="12.75">
      <c r="A160" s="4" t="s">
        <v>302</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ht="12.75">
      <c r="A161" s="3" t="str">
        <f>$A$2</f>
        <v>($ in millions, except per share data)</v>
      </c>
    </row>
    <row r="162" spans="15:35" ht="13.5" thickBot="1">
      <c r="O162" s="82" t="s">
        <v>71</v>
      </c>
      <c r="Q162" s="20" t="str">
        <f>Q$245</f>
        <v>Projected Fiscal Years Ending September 30,</v>
      </c>
      <c r="R162" s="20"/>
      <c r="S162" s="20"/>
      <c r="T162" s="20"/>
      <c r="U162" s="20"/>
      <c r="V162" s="20"/>
      <c r="W162" s="20"/>
      <c r="X162" s="20"/>
      <c r="Y162" s="20"/>
      <c r="Z162" s="20"/>
      <c r="AA162" s="20"/>
      <c r="AB162" s="20"/>
      <c r="AC162" s="20"/>
      <c r="AD162" s="20"/>
      <c r="AE162" s="20"/>
      <c r="AF162" s="20"/>
      <c r="AG162" s="20"/>
      <c r="AH162" s="20"/>
      <c r="AI162" s="20"/>
    </row>
    <row r="163" spans="15:35" ht="12.75">
      <c r="O163" s="81" t="s">
        <v>69</v>
      </c>
      <c r="Q163" s="81">
        <f>Q$246</f>
        <v>1</v>
      </c>
      <c r="S163" s="81">
        <f>S$246</f>
        <v>2</v>
      </c>
      <c r="U163" s="81">
        <f>U$246</f>
        <v>3</v>
      </c>
      <c r="W163" s="81">
        <f>W$246</f>
        <v>4</v>
      </c>
      <c r="Y163" s="81">
        <f>Y$246</f>
        <v>5</v>
      </c>
      <c r="AA163" s="81">
        <f>AA$246</f>
        <v>6</v>
      </c>
      <c r="AC163" s="81">
        <f>AC$246</f>
        <v>7</v>
      </c>
      <c r="AE163" s="81">
        <f>AE$246</f>
        <v>8</v>
      </c>
      <c r="AG163" s="81">
        <f>AG$246</f>
        <v>9</v>
      </c>
      <c r="AI163" s="81">
        <f>AI$246</f>
        <v>10</v>
      </c>
    </row>
    <row r="164" spans="15:35" ht="13.5" thickBot="1">
      <c r="O164" s="99">
        <f>ltm_date</f>
        <v>39538</v>
      </c>
      <c r="Q164" s="82">
        <f>Q$247</f>
        <v>2008</v>
      </c>
      <c r="S164" s="82">
        <f>S$247</f>
        <v>2009</v>
      </c>
      <c r="U164" s="82">
        <f>U$247</f>
        <v>2010</v>
      </c>
      <c r="W164" s="82">
        <f>W$247</f>
        <v>2011</v>
      </c>
      <c r="Y164" s="82">
        <f>Y$247</f>
        <v>2012</v>
      </c>
      <c r="AA164" s="82">
        <f>AA$247</f>
        <v>2013</v>
      </c>
      <c r="AC164" s="82">
        <f>AC$247</f>
        <v>2014</v>
      </c>
      <c r="AE164" s="82">
        <f>AE$247</f>
        <v>2015</v>
      </c>
      <c r="AG164" s="82">
        <f>AG$247</f>
        <v>2016</v>
      </c>
      <c r="AI164" s="82">
        <f>AI$247</f>
        <v>2017</v>
      </c>
    </row>
    <row r="165" ht="4.5" customHeight="1"/>
    <row r="166" spans="1:35" ht="12.75">
      <c r="A166" t="s">
        <v>303</v>
      </c>
      <c r="O166" s="76">
        <f>M50</f>
        <v>420.4</v>
      </c>
      <c r="Q166" s="76">
        <f>Q50</f>
        <v>458.09999999999997</v>
      </c>
      <c r="S166" s="76">
        <f>S50</f>
        <v>467.99999999999994</v>
      </c>
      <c r="U166" s="76">
        <f>U50</f>
        <v>470.49999999999994</v>
      </c>
      <c r="W166" s="76">
        <f>W50</f>
        <v>475.2049999999999</v>
      </c>
      <c r="Y166" s="76">
        <f>Y50</f>
        <v>479.9570499999999</v>
      </c>
      <c r="AA166" s="76">
        <f>AA50</f>
        <v>484.75662049999994</v>
      </c>
      <c r="AC166" s="76">
        <f>AC50</f>
        <v>489.60418670499996</v>
      </c>
      <c r="AE166" s="76">
        <f>AE50</f>
        <v>494.50022857205</v>
      </c>
      <c r="AG166" s="76">
        <f>AG50</f>
        <v>499.44523085777047</v>
      </c>
      <c r="AI166" s="76">
        <f>AI50</f>
        <v>504.4396831663482</v>
      </c>
    </row>
    <row r="167" spans="1:35" ht="12.75">
      <c r="A167" t="s">
        <v>25</v>
      </c>
      <c r="O167" s="37">
        <f>M53</f>
        <v>219.3</v>
      </c>
      <c r="Q167" s="37">
        <f>Q53</f>
        <v>239.6</v>
      </c>
      <c r="S167" s="37">
        <f>S53</f>
        <v>239.79999999999995</v>
      </c>
      <c r="U167" s="37">
        <f>U53</f>
        <v>242.19999999999993</v>
      </c>
      <c r="W167" s="37">
        <f>W53</f>
        <v>244.72199999999995</v>
      </c>
      <c r="Y167" s="37">
        <f>Y53</f>
        <v>247.26921999999996</v>
      </c>
      <c r="AA167" s="37">
        <f>AA53</f>
        <v>249.84191219999994</v>
      </c>
      <c r="AC167" s="37">
        <f>AC53</f>
        <v>252.44033132199996</v>
      </c>
      <c r="AE167" s="37">
        <f>AE53</f>
        <v>255.06473463521996</v>
      </c>
      <c r="AG167" s="37">
        <f>AG53</f>
        <v>257.71538198157214</v>
      </c>
      <c r="AI167" s="37">
        <f>AI53</f>
        <v>260.3925358013879</v>
      </c>
    </row>
    <row r="168" spans="9:11" ht="13.5" thickBot="1">
      <c r="I168" s="100" t="s">
        <v>308</v>
      </c>
      <c r="J168" s="100"/>
      <c r="K168" s="100"/>
    </row>
    <row r="169" spans="1:11" ht="13.5" thickBot="1">
      <c r="A169" s="10" t="s">
        <v>304</v>
      </c>
      <c r="I169" s="82" t="s">
        <v>309</v>
      </c>
      <c r="K169" s="82" t="s">
        <v>148</v>
      </c>
    </row>
    <row r="170" spans="2:35" ht="12.75">
      <c r="B170" t="str">
        <f>B70</f>
        <v>Accounts Receivable</v>
      </c>
      <c r="I170" t="s">
        <v>26</v>
      </c>
      <c r="K170" s="33">
        <f>O170/O$166</f>
        <v>0.31266175071360613</v>
      </c>
      <c r="O170" s="136">
        <f>I70</f>
        <v>131.443</v>
      </c>
      <c r="Q170" s="136">
        <f>$K170*Q$166</f>
        <v>143.23034800190297</v>
      </c>
      <c r="S170" s="136">
        <f>$K170*S$166</f>
        <v>146.32569933396766</v>
      </c>
      <c r="U170" s="136">
        <f>$K170*U$166</f>
        <v>147.10735371075168</v>
      </c>
      <c r="W170" s="136">
        <f>$K170*W$166</f>
        <v>148.57842724785917</v>
      </c>
      <c r="Y170" s="136">
        <f>$K170*Y$166</f>
        <v>150.06421152033778</v>
      </c>
      <c r="AA170" s="136">
        <f>$K170*AA$166</f>
        <v>151.56485363554114</v>
      </c>
      <c r="AC170" s="136">
        <f>$K170*AC$166</f>
        <v>153.08050217189657</v>
      </c>
      <c r="AE170" s="136">
        <f>$K170*AE$166</f>
        <v>154.61130719361554</v>
      </c>
      <c r="AG170" s="136">
        <f>$K170*AG$166</f>
        <v>156.1574202655517</v>
      </c>
      <c r="AI170" s="136">
        <f>$K170*AI$166</f>
        <v>157.71899446820723</v>
      </c>
    </row>
    <row r="171" spans="2:35" ht="12.75">
      <c r="B171" t="str">
        <f>B71</f>
        <v>Inventories</v>
      </c>
      <c r="I171" t="s">
        <v>310</v>
      </c>
      <c r="K171" s="33">
        <f>O171/O$167</f>
        <v>0</v>
      </c>
      <c r="O171" s="146">
        <f>I71</f>
        <v>0</v>
      </c>
      <c r="Q171" s="146">
        <f>$K171*Q$167</f>
        <v>0</v>
      </c>
      <c r="S171" s="146">
        <f>$K171*S$167</f>
        <v>0</v>
      </c>
      <c r="U171" s="146">
        <f>$K171*U$167</f>
        <v>0</v>
      </c>
      <c r="W171" s="146">
        <f>$K171*W$167</f>
        <v>0</v>
      </c>
      <c r="Y171" s="146">
        <f>$K171*Y$167</f>
        <v>0</v>
      </c>
      <c r="AA171" s="146">
        <f>$K171*AA$167</f>
        <v>0</v>
      </c>
      <c r="AC171" s="146">
        <f>$K171*AC$167</f>
        <v>0</v>
      </c>
      <c r="AE171" s="146">
        <f>$K171*AE$167</f>
        <v>0</v>
      </c>
      <c r="AG171" s="146">
        <f>$K171*AG$167</f>
        <v>0</v>
      </c>
      <c r="AI171" s="146">
        <f>$K171*AI$167</f>
        <v>0</v>
      </c>
    </row>
    <row r="172" spans="2:35" ht="12.75">
      <c r="B172" t="str">
        <f>B72</f>
        <v>Deferred Income Taxes</v>
      </c>
      <c r="I172" t="s">
        <v>26</v>
      </c>
      <c r="K172" s="33">
        <f>O172/O$166</f>
        <v>0.02099904852521408</v>
      </c>
      <c r="O172" s="146">
        <f>I72</f>
        <v>8.828</v>
      </c>
      <c r="Q172" s="146">
        <f>$K172*Q$166</f>
        <v>9.619664129400569</v>
      </c>
      <c r="S172" s="146">
        <f>$K172*S$166</f>
        <v>9.827554709800188</v>
      </c>
      <c r="U172" s="146">
        <f>$K172*U$166</f>
        <v>9.880052331113223</v>
      </c>
      <c r="W172" s="146">
        <f>$K172*W$166</f>
        <v>9.978852854424355</v>
      </c>
      <c r="Y172" s="146">
        <f>$K172*Y$166</f>
        <v>10.078641382968598</v>
      </c>
      <c r="AA172" s="146">
        <f>$K172*AA$166</f>
        <v>10.179427796798285</v>
      </c>
      <c r="AC172" s="146">
        <f>$K172*AC$166</f>
        <v>10.28122207476627</v>
      </c>
      <c r="AE172" s="146">
        <f>$K172*AE$166</f>
        <v>10.384034295513931</v>
      </c>
      <c r="AG172" s="146">
        <f>$K172*AG$166</f>
        <v>10.487874638469071</v>
      </c>
      <c r="AI172" s="146">
        <f>$K172*AI$166</f>
        <v>10.592753384853761</v>
      </c>
    </row>
    <row r="173" spans="2:35" ht="12.75">
      <c r="B173" t="str">
        <f>B73</f>
        <v>Prepaid Expenses &amp; Other</v>
      </c>
      <c r="I173" t="s">
        <v>310</v>
      </c>
      <c r="K173" s="33">
        <f>O173/O$167</f>
        <v>0.03749658002735978</v>
      </c>
      <c r="O173" s="146">
        <f>I73</f>
        <v>8.223</v>
      </c>
      <c r="Q173" s="146">
        <f>$K173*Q$167</f>
        <v>8.984180574555404</v>
      </c>
      <c r="S173" s="146">
        <f>$K173*S$167</f>
        <v>8.991679890560874</v>
      </c>
      <c r="U173" s="146">
        <f>$K173*U$167</f>
        <v>9.081671682626537</v>
      </c>
      <c r="W173" s="146">
        <f>$K173*W$167</f>
        <v>9.176238057455539</v>
      </c>
      <c r="Y173" s="146">
        <f>$K173*Y$167</f>
        <v>9.27175009603283</v>
      </c>
      <c r="AA173" s="146">
        <f>$K173*AA$167</f>
        <v>9.368217254995894</v>
      </c>
      <c r="AC173" s="146">
        <f>$K173*AC$167</f>
        <v>9.46564908554859</v>
      </c>
      <c r="AE173" s="146">
        <f>$K173*AE$167</f>
        <v>9.564055234406812</v>
      </c>
      <c r="AG173" s="146">
        <f>$K173*AG$167</f>
        <v>9.663445444753615</v>
      </c>
      <c r="AI173" s="146">
        <f>$K173*AI$167</f>
        <v>9.76382955720389</v>
      </c>
    </row>
    <row r="174" ht="4.5" customHeight="1"/>
    <row r="175" ht="12.75">
      <c r="A175" s="10" t="s">
        <v>305</v>
      </c>
    </row>
    <row r="176" spans="2:35" ht="12.75">
      <c r="B176" t="str">
        <f>B90</f>
        <v>Accounts Payable</v>
      </c>
      <c r="I176" t="s">
        <v>310</v>
      </c>
      <c r="K176" s="33">
        <f>O176/O$167</f>
        <v>0.09421796625626994</v>
      </c>
      <c r="O176" s="136">
        <f>I90</f>
        <v>20.662</v>
      </c>
      <c r="Q176" s="136">
        <f>$K176*Q$167</f>
        <v>22.574624715002276</v>
      </c>
      <c r="S176" s="136">
        <f>$K176*S$167</f>
        <v>22.593468308253527</v>
      </c>
      <c r="U176" s="136">
        <f>$K176*U$167</f>
        <v>22.819591427268573</v>
      </c>
      <c r="W176" s="136">
        <f>$K176*W$167</f>
        <v>23.057209138166886</v>
      </c>
      <c r="Y176" s="136">
        <f>$K176*Y$167</f>
        <v>23.297203026174184</v>
      </c>
      <c r="AA176" s="136">
        <f>$K176*AA$167</f>
        <v>23.53959685306155</v>
      </c>
      <c r="AC176" s="136">
        <f>$K176*AC$167</f>
        <v>23.784414618217795</v>
      </c>
      <c r="AE176" s="136">
        <f>$K176*AE$167</f>
        <v>24.0316805610256</v>
      </c>
      <c r="AG176" s="136">
        <f>$K176*AG$167</f>
        <v>24.281419163261482</v>
      </c>
      <c r="AI176" s="136">
        <f>$K176*AI$167</f>
        <v>24.533655151519728</v>
      </c>
    </row>
    <row r="177" spans="2:35" ht="12.75">
      <c r="B177" t="str">
        <f>B91</f>
        <v>Accrued Liabilities</v>
      </c>
      <c r="I177" t="s">
        <v>310</v>
      </c>
      <c r="K177" s="33">
        <f>O177/O$167</f>
        <v>0.07013223894208846</v>
      </c>
      <c r="O177" s="146">
        <f>I91</f>
        <v>15.38</v>
      </c>
      <c r="Q177" s="146">
        <f>$K177*Q$167</f>
        <v>16.803684450524393</v>
      </c>
      <c r="S177" s="146">
        <f>$K177*S$167</f>
        <v>16.81771089831281</v>
      </c>
      <c r="U177" s="146">
        <f>$K177*U$167</f>
        <v>16.986028271773822</v>
      </c>
      <c r="W177" s="146">
        <f>$K177*W$167</f>
        <v>17.16290177838577</v>
      </c>
      <c r="Y177" s="146">
        <f>$K177*Y$167</f>
        <v>17.341544020063836</v>
      </c>
      <c r="AA177" s="146">
        <f>$K177*AA$167</f>
        <v>17.521972684158683</v>
      </c>
      <c r="AC177" s="146">
        <f>$K177*AC$167</f>
        <v>17.70420563489448</v>
      </c>
      <c r="AE177" s="146">
        <f>$K177*AE$167</f>
        <v>17.888260915137632</v>
      </c>
      <c r="AG177" s="146">
        <f>$K177*AG$167</f>
        <v>18.074156748183217</v>
      </c>
      <c r="AI177" s="146">
        <f>$K177*AI$167</f>
        <v>18.26191153955926</v>
      </c>
    </row>
    <row r="178" spans="2:35" ht="12.75">
      <c r="B178" t="str">
        <f>B92</f>
        <v>Client Deposits</v>
      </c>
      <c r="I178" t="s">
        <v>26</v>
      </c>
      <c r="K178" s="33">
        <f>O178/O$166</f>
        <v>0</v>
      </c>
      <c r="O178" s="146">
        <f>I92</f>
        <v>0</v>
      </c>
      <c r="Q178" s="146">
        <f>$K178*Q$166</f>
        <v>0</v>
      </c>
      <c r="S178" s="146">
        <f>$K178*S$166</f>
        <v>0</v>
      </c>
      <c r="U178" s="146">
        <f>$K178*U$166</f>
        <v>0</v>
      </c>
      <c r="W178" s="146">
        <f>$K178*W$166</f>
        <v>0</v>
      </c>
      <c r="Y178" s="146">
        <f>$K178*Y$166</f>
        <v>0</v>
      </c>
      <c r="AA178" s="146">
        <f>$K178*AA$166</f>
        <v>0</v>
      </c>
      <c r="AC178" s="146">
        <f>$K178*AC$166</f>
        <v>0</v>
      </c>
      <c r="AE178" s="146">
        <f>$K178*AE$166</f>
        <v>0</v>
      </c>
      <c r="AG178" s="146">
        <f>$K178*AG$166</f>
        <v>0</v>
      </c>
      <c r="AI178" s="146">
        <f>$K178*AI$166</f>
        <v>0</v>
      </c>
    </row>
    <row r="179" spans="2:35" ht="12.75">
      <c r="B179" t="str">
        <f>B93</f>
        <v>Other Current Liabilities</v>
      </c>
      <c r="I179" t="s">
        <v>310</v>
      </c>
      <c r="K179" s="33">
        <f>O179/O$167</f>
        <v>0.26964432284541723</v>
      </c>
      <c r="O179" s="146">
        <f>I93</f>
        <v>59.132999999999996</v>
      </c>
      <c r="Q179" s="146">
        <f>$K179*Q$167</f>
        <v>64.60677975376197</v>
      </c>
      <c r="S179" s="146">
        <f>$K179*S$167</f>
        <v>64.66070861833104</v>
      </c>
      <c r="U179" s="146">
        <f>$K179*U$167</f>
        <v>65.30785499316003</v>
      </c>
      <c r="W179" s="146">
        <f>$K179*W$167</f>
        <v>65.98789797537619</v>
      </c>
      <c r="Y179" s="146">
        <f>$K179*Y$167</f>
        <v>66.67474138741449</v>
      </c>
      <c r="AA179" s="146">
        <f>$K179*AA$167</f>
        <v>67.36845323357316</v>
      </c>
      <c r="AC179" s="146">
        <f>$K179*AC$167</f>
        <v>68.06910219819345</v>
      </c>
      <c r="AE179" s="146">
        <f>$K179*AE$167</f>
        <v>68.77675765245992</v>
      </c>
      <c r="AG179" s="146">
        <f>$K179*AG$167</f>
        <v>69.49148966126906</v>
      </c>
      <c r="AI179" s="146">
        <f>$K179*AI$167</f>
        <v>70.2133689901663</v>
      </c>
    </row>
    <row r="181" spans="1:35" ht="12.75">
      <c r="A181" t="s">
        <v>306</v>
      </c>
      <c r="O181" s="76">
        <f>SUM(O170:O173)-SUM(O176:O179)</f>
        <v>53.31900000000003</v>
      </c>
      <c r="Q181" s="76">
        <f>SUM(Q170:Q173)-SUM(Q176:Q179)</f>
        <v>57.84910378657031</v>
      </c>
      <c r="S181" s="76">
        <f>SUM(S170:S173)-SUM(S176:S179)</f>
        <v>61.073046109431345</v>
      </c>
      <c r="U181" s="76">
        <f>SUM(U170:U173)-SUM(U176:U179)</f>
        <v>60.95560303228902</v>
      </c>
      <c r="W181" s="76">
        <f>SUM(W170:W173)-SUM(W176:W179)</f>
        <v>61.525509267810236</v>
      </c>
      <c r="Y181" s="76">
        <f>SUM(Y170:Y173)-SUM(Y176:Y179)</f>
        <v>62.101114565686714</v>
      </c>
      <c r="AA181" s="76">
        <f>SUM(AA170:AA173)-SUM(AA176:AA179)</f>
        <v>62.68247591654192</v>
      </c>
      <c r="AC181" s="76">
        <f>SUM(AC170:AC173)-SUM(AC176:AC179)</f>
        <v>63.269650880905715</v>
      </c>
      <c r="AE181" s="76">
        <f>SUM(AE170:AE173)-SUM(AE176:AE179)</f>
        <v>63.86269759491316</v>
      </c>
      <c r="AG181" s="76">
        <f>SUM(AG170:AG173)-SUM(AG176:AG179)</f>
        <v>64.46167477606063</v>
      </c>
      <c r="AI181" s="76">
        <f>SUM(AI170:AI173)-SUM(AI176:AI179)</f>
        <v>65.06664172901957</v>
      </c>
    </row>
    <row r="182" spans="1:35" ht="12.75">
      <c r="A182" t="s">
        <v>307</v>
      </c>
      <c r="Q182" s="37">
        <f>Q181-O181</f>
        <v>4.53010378657028</v>
      </c>
      <c r="S182" s="37">
        <f>S181-Q181</f>
        <v>3.223942322861035</v>
      </c>
      <c r="U182" s="37">
        <f>U181-S181</f>
        <v>-0.11744307714232605</v>
      </c>
      <c r="W182" s="37">
        <f>W181-U181</f>
        <v>0.5699062355212163</v>
      </c>
      <c r="Y182" s="37">
        <f>Y181-W181</f>
        <v>0.5756052978764785</v>
      </c>
      <c r="AA182" s="37">
        <f>AA181-Y181</f>
        <v>0.5813613508552038</v>
      </c>
      <c r="AC182" s="37">
        <f>AC181-AA181</f>
        <v>0.5871749643637969</v>
      </c>
      <c r="AE182" s="37">
        <f>AE181-AC181</f>
        <v>0.5930467140074427</v>
      </c>
      <c r="AG182" s="37">
        <f>AG181-AE181</f>
        <v>0.5989771811474753</v>
      </c>
      <c r="AI182" s="37">
        <f>AI181-AG181</f>
        <v>0.6049669529589323</v>
      </c>
    </row>
    <row r="184" spans="1:35" ht="12.75">
      <c r="A184" s="4" t="s">
        <v>311</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ht="12.75">
      <c r="A185" s="3" t="str">
        <f>$A$2</f>
        <v>($ in millions, except per share data)</v>
      </c>
    </row>
    <row r="186" spans="15:35" ht="13.5" thickBot="1">
      <c r="O186" s="22" t="str">
        <f>O$46</f>
        <v>2 Mos.</v>
      </c>
      <c r="Q186" s="20" t="str">
        <f>Q$245</f>
        <v>Projected Fiscal Years Ending September 30,</v>
      </c>
      <c r="R186" s="20"/>
      <c r="S186" s="20"/>
      <c r="T186" s="20"/>
      <c r="U186" s="20"/>
      <c r="V186" s="20"/>
      <c r="W186" s="20"/>
      <c r="X186" s="20"/>
      <c r="Y186" s="20"/>
      <c r="Z186" s="20"/>
      <c r="AA186" s="20"/>
      <c r="AB186" s="20"/>
      <c r="AC186" s="20"/>
      <c r="AD186" s="20"/>
      <c r="AE186" s="20"/>
      <c r="AF186" s="20"/>
      <c r="AG186" s="20"/>
      <c r="AH186" s="20"/>
      <c r="AI186" s="20"/>
    </row>
    <row r="187" spans="15:35" ht="12.75">
      <c r="O187" s="22" t="str">
        <f>O$47</f>
        <v>Ending</v>
      </c>
      <c r="Q187" s="81">
        <f>Q$246</f>
        <v>1</v>
      </c>
      <c r="S187" s="81">
        <f>S$246</f>
        <v>2</v>
      </c>
      <c r="U187" s="81">
        <f>U$246</f>
        <v>3</v>
      </c>
      <c r="W187" s="81">
        <f>W$246</f>
        <v>4</v>
      </c>
      <c r="Y187" s="81">
        <f>Y$246</f>
        <v>5</v>
      </c>
      <c r="AA187" s="81">
        <f>AA$246</f>
        <v>6</v>
      </c>
      <c r="AC187" s="81">
        <f>AC$246</f>
        <v>7</v>
      </c>
      <c r="AE187" s="81">
        <f>AE$246</f>
        <v>8</v>
      </c>
      <c r="AG187" s="81">
        <f>AG$246</f>
        <v>9</v>
      </c>
      <c r="AI187" s="81">
        <f>AI$246</f>
        <v>10</v>
      </c>
    </row>
    <row r="188" spans="1:35" ht="13.5" thickBot="1">
      <c r="A188" s="100" t="s">
        <v>312</v>
      </c>
      <c r="B188" s="100"/>
      <c r="C188" s="100"/>
      <c r="D188" s="100"/>
      <c r="E188" s="100"/>
      <c r="F188" s="100"/>
      <c r="G188" s="100"/>
      <c r="H188" s="100"/>
      <c r="I188" s="100"/>
      <c r="J188" s="100"/>
      <c r="K188" s="100"/>
      <c r="O188" s="97" t="str">
        <f>O$48</f>
        <v>9/30/2008</v>
      </c>
      <c r="Q188" s="82">
        <f>Q$247</f>
        <v>2008</v>
      </c>
      <c r="S188" s="82">
        <f>S$247</f>
        <v>2009</v>
      </c>
      <c r="U188" s="82">
        <f>U$247</f>
        <v>2010</v>
      </c>
      <c r="W188" s="82">
        <f>W$247</f>
        <v>2011</v>
      </c>
      <c r="Y188" s="82">
        <f>Y$247</f>
        <v>2012</v>
      </c>
      <c r="AA188" s="82">
        <f>AA$247</f>
        <v>2013</v>
      </c>
      <c r="AC188" s="82">
        <f>AC$247</f>
        <v>2014</v>
      </c>
      <c r="AE188" s="82">
        <f>AE$247</f>
        <v>2015</v>
      </c>
      <c r="AG188" s="82">
        <f>AG$247</f>
        <v>2016</v>
      </c>
      <c r="AI188" s="82">
        <f>AI$247</f>
        <v>2017</v>
      </c>
    </row>
    <row r="189" spans="7:11" ht="12.75">
      <c r="G189" s="22" t="s">
        <v>249</v>
      </c>
      <c r="I189" s="22" t="s">
        <v>313</v>
      </c>
      <c r="K189" s="22" t="s">
        <v>314</v>
      </c>
    </row>
    <row r="190" spans="1:35" ht="13.5" thickBot="1">
      <c r="A190" s="100" t="s">
        <v>315</v>
      </c>
      <c r="B190" s="100"/>
      <c r="C190" s="100"/>
      <c r="D190" s="100"/>
      <c r="E190" s="100"/>
      <c r="G190" s="82" t="s">
        <v>316</v>
      </c>
      <c r="I190" s="82" t="s">
        <v>317</v>
      </c>
      <c r="K190" s="82" t="s">
        <v>318</v>
      </c>
      <c r="O190" s="100" t="s">
        <v>323</v>
      </c>
      <c r="P190" s="100"/>
      <c r="Q190" s="100"/>
      <c r="R190" s="100"/>
      <c r="S190" s="100"/>
      <c r="T190" s="100"/>
      <c r="U190" s="100"/>
      <c r="V190" s="100"/>
      <c r="W190" s="100"/>
      <c r="X190" s="100"/>
      <c r="Y190" s="100"/>
      <c r="Z190" s="100"/>
      <c r="AA190" s="100"/>
      <c r="AB190" s="100"/>
      <c r="AC190" s="100"/>
      <c r="AD190" s="100"/>
      <c r="AE190" s="100"/>
      <c r="AF190" s="100"/>
      <c r="AG190" s="100"/>
      <c r="AH190" s="100"/>
      <c r="AI190" s="100"/>
    </row>
    <row r="191" spans="1:35" ht="12.75">
      <c r="A191" s="198" t="s">
        <v>319</v>
      </c>
      <c r="G191" s="76">
        <f>I76</f>
        <v>175.41400000000002</v>
      </c>
      <c r="I191" s="199">
        <v>14</v>
      </c>
      <c r="K191" s="77">
        <v>0</v>
      </c>
      <c r="O191" s="76">
        <f>stub*Q191</f>
        <v>2.0882619047619047</v>
      </c>
      <c r="Q191" s="76">
        <f>IF(Q$187&lt;=$I191,SLN($G191,$K191,$I191),0)</f>
        <v>12.52957142857143</v>
      </c>
      <c r="S191" s="76">
        <f>IF(S$187&lt;=$I191,SLN($G191,$K191,$I191),0)</f>
        <v>12.52957142857143</v>
      </c>
      <c r="U191" s="76">
        <f>IF(U$187&lt;=$I191,SLN($G191,$K191,$I191),0)</f>
        <v>12.52957142857143</v>
      </c>
      <c r="W191" s="76">
        <f>IF(W$187&lt;=$I191,SLN($G191,$K191,$I191),0)</f>
        <v>12.52957142857143</v>
      </c>
      <c r="Y191" s="76">
        <f>IF(Y$187&lt;=$I191,SLN($G191,$K191,$I191),0)</f>
        <v>12.52957142857143</v>
      </c>
      <c r="AA191" s="76">
        <f>IF(AA$187&lt;=$I191,SLN($G191,$K191,$I191),0)</f>
        <v>12.52957142857143</v>
      </c>
      <c r="AC191" s="76">
        <f>IF(AC$187&lt;=$I191,SLN($G191,$K191,$I191),0)</f>
        <v>12.52957142857143</v>
      </c>
      <c r="AE191" s="76">
        <f>IF(AE$187&lt;=$I191,SLN($G191,$K191,$I191),0)</f>
        <v>12.52957142857143</v>
      </c>
      <c r="AG191" s="76">
        <f>IF(AG$187&lt;=$I191,SLN($G191,$K191,$I191),0)</f>
        <v>12.52957142857143</v>
      </c>
      <c r="AI191" s="76">
        <f>IF(AI$187&lt;=$I191,SLN($G191,$K191,$I191),0)</f>
        <v>12.52957142857143</v>
      </c>
    </row>
    <row r="192" spans="1:35" ht="12.75">
      <c r="A192" s="198" t="s">
        <v>320</v>
      </c>
      <c r="G192" s="43">
        <v>0</v>
      </c>
      <c r="I192" s="43">
        <v>0</v>
      </c>
      <c r="K192" s="43">
        <v>0</v>
      </c>
      <c r="O192" s="146">
        <f>stub*Q192</f>
        <v>0</v>
      </c>
      <c r="Q192" s="146">
        <f>IF(Q$187&lt;=$I192,SLN($G192,$K192,$I192),0)</f>
        <v>0</v>
      </c>
      <c r="S192" s="146">
        <f>IF(S$187&lt;=$I192,SLN($G192,$K192,$I192),0)</f>
        <v>0</v>
      </c>
      <c r="U192" s="146">
        <f>IF(U$187&lt;=$I192,SLN($G192,$K192,$I192),0)</f>
        <v>0</v>
      </c>
      <c r="W192" s="146">
        <f>IF(W$187&lt;=$I192,SLN($G192,$K192,$I192),0)</f>
        <v>0</v>
      </c>
      <c r="Y192" s="146">
        <f>IF(Y$187&lt;=$I192,SLN($G192,$K192,$I192),0)</f>
        <v>0</v>
      </c>
      <c r="AA192" s="146">
        <f>IF(AA$187&lt;=$I192,SLN($G192,$K192,$I192),0)</f>
        <v>0</v>
      </c>
      <c r="AC192" s="146">
        <f>IF(AC$187&lt;=$I192,SLN($G192,$K192,$I192),0)</f>
        <v>0</v>
      </c>
      <c r="AE192" s="146">
        <f>IF(AE$187&lt;=$I192,SLN($G192,$K192,$I192),0)</f>
        <v>0</v>
      </c>
      <c r="AG192" s="146">
        <f>IF(AG$187&lt;=$I192,SLN($G192,$K192,$I192),0)</f>
        <v>0</v>
      </c>
      <c r="AI192" s="146">
        <f>IF(AI$187&lt;=$I192,SLN($G192,$K192,$I192),0)</f>
        <v>0</v>
      </c>
    </row>
    <row r="193" spans="1:35" ht="12.75">
      <c r="A193" s="198" t="s">
        <v>321</v>
      </c>
      <c r="G193" s="43">
        <v>0</v>
      </c>
      <c r="I193" s="43">
        <v>0</v>
      </c>
      <c r="K193" s="43">
        <v>0</v>
      </c>
      <c r="O193" s="146">
        <f>stub*Q193</f>
        <v>0</v>
      </c>
      <c r="Q193" s="146">
        <f aca="true" t="shared" si="23" ref="Q193:AI194">IF(Q$187&lt;=$I193,SLN($G193,$K193,$I193),0)</f>
        <v>0</v>
      </c>
      <c r="S193" s="146">
        <f t="shared" si="23"/>
        <v>0</v>
      </c>
      <c r="U193" s="146">
        <f t="shared" si="23"/>
        <v>0</v>
      </c>
      <c r="W193" s="146">
        <f t="shared" si="23"/>
        <v>0</v>
      </c>
      <c r="Y193" s="146">
        <f t="shared" si="23"/>
        <v>0</v>
      </c>
      <c r="AA193" s="146">
        <f t="shared" si="23"/>
        <v>0</v>
      </c>
      <c r="AC193" s="146">
        <f t="shared" si="23"/>
        <v>0</v>
      </c>
      <c r="AE193" s="146">
        <f t="shared" si="23"/>
        <v>0</v>
      </c>
      <c r="AG193" s="146">
        <f t="shared" si="23"/>
        <v>0</v>
      </c>
      <c r="AI193" s="146">
        <f t="shared" si="23"/>
        <v>0</v>
      </c>
    </row>
    <row r="194" spans="1:35" ht="13.5" thickBot="1">
      <c r="A194" s="198" t="s">
        <v>322</v>
      </c>
      <c r="G194" s="43">
        <v>0</v>
      </c>
      <c r="I194" s="43">
        <v>0</v>
      </c>
      <c r="K194" s="43">
        <v>0</v>
      </c>
      <c r="O194" s="146">
        <f>stub*Q194</f>
        <v>0</v>
      </c>
      <c r="Q194" s="146">
        <f t="shared" si="23"/>
        <v>0</v>
      </c>
      <c r="S194" s="146">
        <f t="shared" si="23"/>
        <v>0</v>
      </c>
      <c r="U194" s="146">
        <f t="shared" si="23"/>
        <v>0</v>
      </c>
      <c r="W194" s="146">
        <f t="shared" si="23"/>
        <v>0</v>
      </c>
      <c r="Y194" s="146">
        <f t="shared" si="23"/>
        <v>0</v>
      </c>
      <c r="AA194" s="146">
        <f t="shared" si="23"/>
        <v>0</v>
      </c>
      <c r="AC194" s="146">
        <f t="shared" si="23"/>
        <v>0</v>
      </c>
      <c r="AE194" s="146">
        <f t="shared" si="23"/>
        <v>0</v>
      </c>
      <c r="AG194" s="146">
        <f t="shared" si="23"/>
        <v>0</v>
      </c>
      <c r="AI194" s="146">
        <f t="shared" si="23"/>
        <v>0</v>
      </c>
    </row>
    <row r="195" spans="13:35" ht="12.75">
      <c r="M195" t="s">
        <v>324</v>
      </c>
      <c r="O195" s="108">
        <f>SUM(O191:O194)</f>
        <v>2.0882619047619047</v>
      </c>
      <c r="Q195" s="108">
        <f>SUM(Q191:Q194)</f>
        <v>12.52957142857143</v>
      </c>
      <c r="S195" s="108">
        <f>SUM(S191:S194)</f>
        <v>12.52957142857143</v>
      </c>
      <c r="U195" s="108">
        <f>SUM(U191:U194)</f>
        <v>12.52957142857143</v>
      </c>
      <c r="W195" s="108">
        <f>SUM(W191:W194)</f>
        <v>12.52957142857143</v>
      </c>
      <c r="Y195" s="108">
        <f>SUM(Y191:Y194)</f>
        <v>12.52957142857143</v>
      </c>
      <c r="AA195" s="108">
        <f>SUM(AA191:AA194)</f>
        <v>12.52957142857143</v>
      </c>
      <c r="AC195" s="108">
        <f>SUM(AC191:AC194)</f>
        <v>12.52957142857143</v>
      </c>
      <c r="AE195" s="108">
        <f>SUM(AE191:AE194)</f>
        <v>12.52957142857143</v>
      </c>
      <c r="AG195" s="108">
        <f>SUM(AG191:AG194)</f>
        <v>12.52957142857143</v>
      </c>
      <c r="AI195" s="108">
        <f>SUM(AI191:AI194)</f>
        <v>12.52957142857143</v>
      </c>
    </row>
    <row r="196" spans="5:11" ht="13.5" thickBot="1">
      <c r="E196" s="100" t="s">
        <v>325</v>
      </c>
      <c r="F196" s="100"/>
      <c r="G196" s="100"/>
      <c r="H196" s="100"/>
      <c r="I196" s="100"/>
      <c r="J196" s="100"/>
      <c r="K196" s="100"/>
    </row>
    <row r="197" spans="9:11" ht="12.75">
      <c r="I197" s="22" t="s">
        <v>326</v>
      </c>
      <c r="K197" s="22" t="s">
        <v>314</v>
      </c>
    </row>
    <row r="198" spans="5:35" ht="13.5" thickBot="1">
      <c r="E198" s="82" t="s">
        <v>327</v>
      </c>
      <c r="G198" s="82" t="s">
        <v>328</v>
      </c>
      <c r="I198" s="82" t="s">
        <v>317</v>
      </c>
      <c r="K198" s="82" t="s">
        <v>318</v>
      </c>
      <c r="O198" s="100" t="s">
        <v>329</v>
      </c>
      <c r="P198" s="100"/>
      <c r="Q198" s="100"/>
      <c r="R198" s="100"/>
      <c r="S198" s="100"/>
      <c r="T198" s="100"/>
      <c r="U198" s="100"/>
      <c r="V198" s="100"/>
      <c r="W198" s="100"/>
      <c r="X198" s="100"/>
      <c r="Y198" s="100"/>
      <c r="Z198" s="100"/>
      <c r="AA198" s="100"/>
      <c r="AB198" s="100"/>
      <c r="AC198" s="100"/>
      <c r="AD198" s="100"/>
      <c r="AE198" s="100"/>
      <c r="AF198" s="100"/>
      <c r="AG198" s="100"/>
      <c r="AH198" s="100"/>
      <c r="AI198" s="100"/>
    </row>
    <row r="199" spans="5:35" ht="12.75">
      <c r="E199" s="200">
        <f>Q188</f>
        <v>2008</v>
      </c>
      <c r="G199" s="201">
        <f>'Target P&amp;L'!M65</f>
        <v>16</v>
      </c>
      <c r="I199" s="199">
        <v>20</v>
      </c>
      <c r="K199" s="77">
        <v>0</v>
      </c>
      <c r="O199" s="76">
        <f>stub*Q199</f>
        <v>0.13333333333333333</v>
      </c>
      <c r="Q199" s="76">
        <f>IF(Q$188-$Q$188&lt;$I199,SLN($G199,$K199,$I199),0)</f>
        <v>0.8</v>
      </c>
      <c r="S199" s="76">
        <f>IF(S$188-$Q$188&lt;$I199,SLN($G199,$K199,$I199),0)</f>
        <v>0.8</v>
      </c>
      <c r="U199" s="76">
        <f>IF(U$188-$Q$188&lt;$I199,SLN($G199,$K199,$I199),0)</f>
        <v>0.8</v>
      </c>
      <c r="W199" s="76">
        <f>IF(W$188-$Q$188&lt;$I199,SLN($G199,$K199,$I199),0)</f>
        <v>0.8</v>
      </c>
      <c r="Y199" s="76">
        <f>IF(Y$188-$Q$188&lt;$I199,SLN($G199,$K199,$I199),0)</f>
        <v>0.8</v>
      </c>
      <c r="AA199" s="76">
        <f>IF(AA$188-$Q$188&lt;$I199,SLN($G199,$K199,$I199),0)</f>
        <v>0.8</v>
      </c>
      <c r="AC199" s="76">
        <f>IF(AC$188-$Q$188&lt;$I199,SLN($G199,$K199,$I199),0)</f>
        <v>0.8</v>
      </c>
      <c r="AE199" s="76">
        <f>IF(AE$188-$Q$188&lt;$I199,SLN($G199,$K199,$I199),0)</f>
        <v>0.8</v>
      </c>
      <c r="AG199" s="76">
        <f>IF(AG$188-$Q$188&lt;$I199,SLN($G199,$K199,$I199),0)</f>
        <v>0.8</v>
      </c>
      <c r="AI199" s="76">
        <f>IF(AI$188-$Q$188&lt;$I199,SLN($G199,$K199,$I199),0)</f>
        <v>0.8</v>
      </c>
    </row>
    <row r="200" spans="5:35" ht="12.75">
      <c r="E200" s="200">
        <f>S188</f>
        <v>2009</v>
      </c>
      <c r="G200" s="202">
        <f>'Target P&amp;L'!O65</f>
        <v>14.1</v>
      </c>
      <c r="I200" s="199">
        <v>20</v>
      </c>
      <c r="K200" s="43">
        <v>0</v>
      </c>
      <c r="O200" s="203"/>
      <c r="Q200" s="203"/>
      <c r="S200" s="146">
        <f>IF(S$188-$Q$188&lt;$I200,SLN($G200,$K200,$I200),0)</f>
        <v>0.705</v>
      </c>
      <c r="U200" s="146">
        <f>IF(U$188-$Q$188&lt;$I200,SLN($G200,$K200,$I200),0)</f>
        <v>0.705</v>
      </c>
      <c r="W200" s="146">
        <f>IF(W$188-$Q$188&lt;$I200,SLN($G200,$K200,$I200),0)</f>
        <v>0.705</v>
      </c>
      <c r="Y200" s="146">
        <f>IF(Y$188-$Q$188&lt;$I200,SLN($G200,$K200,$I200),0)</f>
        <v>0.705</v>
      </c>
      <c r="AA200" s="146">
        <f>IF(AA$188-$Q$188&lt;$I200,SLN($G200,$K200,$I200),0)</f>
        <v>0.705</v>
      </c>
      <c r="AC200" s="146">
        <f>IF(AC$188-$Q$188&lt;$I200,SLN($G200,$K200,$I200),0)</f>
        <v>0.705</v>
      </c>
      <c r="AE200" s="146">
        <f>IF(AE$188-$Q$188&lt;$I200,SLN($G200,$K200,$I200),0)</f>
        <v>0.705</v>
      </c>
      <c r="AG200" s="146">
        <f>IF(AG$188-$Q$188&lt;$I200,SLN($G200,$K200,$I200),0)</f>
        <v>0.705</v>
      </c>
      <c r="AI200" s="146">
        <f>IF(AI$188-$Q$188&lt;$I200,SLN($G200,$K200,$I200),0)</f>
        <v>0.705</v>
      </c>
    </row>
    <row r="201" spans="5:35" ht="12.75">
      <c r="E201" s="200">
        <f>U188</f>
        <v>2010</v>
      </c>
      <c r="G201" s="202">
        <f>'Target P&amp;L'!Q65</f>
        <v>14.175320512820512</v>
      </c>
      <c r="I201" s="199">
        <v>20</v>
      </c>
      <c r="K201" s="43">
        <v>0</v>
      </c>
      <c r="O201" s="203"/>
      <c r="Q201" s="203"/>
      <c r="S201" s="203"/>
      <c r="U201" s="146">
        <f>IF(U$188-$Q$188&lt;$I201,SLN($G201,$K201,$I201),0)</f>
        <v>0.7087660256410256</v>
      </c>
      <c r="W201" s="146">
        <f>IF(W$188-$Q$188&lt;$I201,SLN($G201,$K201,$I201),0)</f>
        <v>0.7087660256410256</v>
      </c>
      <c r="Y201" s="146">
        <f>IF(Y$188-$Q$188&lt;$I201,SLN($G201,$K201,$I201),0)</f>
        <v>0.7087660256410256</v>
      </c>
      <c r="AA201" s="146">
        <f>IF(AA$188-$Q$188&lt;$I201,SLN($G201,$K201,$I201),0)</f>
        <v>0.7087660256410256</v>
      </c>
      <c r="AC201" s="146">
        <f>IF(AC$188-$Q$188&lt;$I201,SLN($G201,$K201,$I201),0)</f>
        <v>0.7087660256410256</v>
      </c>
      <c r="AE201" s="146">
        <f>IF(AE$188-$Q$188&lt;$I201,SLN($G201,$K201,$I201),0)</f>
        <v>0.7087660256410256</v>
      </c>
      <c r="AG201" s="146">
        <f>IF(AG$188-$Q$188&lt;$I201,SLN($G201,$K201,$I201),0)</f>
        <v>0.7087660256410256</v>
      </c>
      <c r="AI201" s="146">
        <f>IF(AI$188-$Q$188&lt;$I201,SLN($G201,$K201,$I201),0)</f>
        <v>0.7087660256410256</v>
      </c>
    </row>
    <row r="202" spans="5:35" ht="12.75">
      <c r="E202" s="200">
        <f>W188</f>
        <v>2011</v>
      </c>
      <c r="G202" s="202">
        <f>'Target P&amp;L'!S65</f>
        <v>14.317073717948718</v>
      </c>
      <c r="I202" s="199">
        <v>20</v>
      </c>
      <c r="K202" s="43">
        <v>0</v>
      </c>
      <c r="O202" s="203"/>
      <c r="Q202" s="203"/>
      <c r="S202" s="203"/>
      <c r="U202" s="203"/>
      <c r="W202" s="146">
        <f>IF(W$188-$Q$188&lt;$I202,SLN($G202,$K202,$I202),0)</f>
        <v>0.7158536858974359</v>
      </c>
      <c r="Y202" s="146">
        <f>IF(Y$188-$Q$188&lt;$I202,SLN($G202,$K202,$I202),0)</f>
        <v>0.7158536858974359</v>
      </c>
      <c r="AA202" s="146">
        <f>IF(AA$188-$Q$188&lt;$I202,SLN($G202,$K202,$I202),0)</f>
        <v>0.7158536858974359</v>
      </c>
      <c r="AC202" s="146">
        <f>IF(AC$188-$Q$188&lt;$I202,SLN($G202,$K202,$I202),0)</f>
        <v>0.7158536858974359</v>
      </c>
      <c r="AE202" s="146">
        <f>IF(AE$188-$Q$188&lt;$I202,SLN($G202,$K202,$I202),0)</f>
        <v>0.7158536858974359</v>
      </c>
      <c r="AG202" s="146">
        <f>IF(AG$188-$Q$188&lt;$I202,SLN($G202,$K202,$I202),0)</f>
        <v>0.7158536858974359</v>
      </c>
      <c r="AI202" s="146">
        <f>IF(AI$188-$Q$188&lt;$I202,SLN($G202,$K202,$I202),0)</f>
        <v>0.7158536858974359</v>
      </c>
    </row>
    <row r="203" spans="5:35" ht="12.75">
      <c r="E203" s="200">
        <f>Y188</f>
        <v>2012</v>
      </c>
      <c r="G203" s="202">
        <f>'Target P&amp;L'!U65</f>
        <v>14.460244455128205</v>
      </c>
      <c r="I203" s="199">
        <v>20</v>
      </c>
      <c r="K203" s="43">
        <v>0</v>
      </c>
      <c r="O203" s="203"/>
      <c r="Q203" s="203"/>
      <c r="S203" s="203"/>
      <c r="U203" s="203"/>
      <c r="W203" s="203"/>
      <c r="Y203" s="146">
        <f>IF(Y$188-$Q$188&lt;$I203,SLN($G203,$K203,$I203),0)</f>
        <v>0.7230122227564102</v>
      </c>
      <c r="AA203" s="146">
        <f>IF(AA$188-$Q$188&lt;$I203,SLN($G203,$K203,$I203),0)</f>
        <v>0.7230122227564102</v>
      </c>
      <c r="AC203" s="146">
        <f>IF(AC$188-$Q$188&lt;$I203,SLN($G203,$K203,$I203),0)</f>
        <v>0.7230122227564102</v>
      </c>
      <c r="AE203" s="146">
        <f>IF(AE$188-$Q$188&lt;$I203,SLN($G203,$K203,$I203),0)</f>
        <v>0.7230122227564102</v>
      </c>
      <c r="AG203" s="146">
        <f>IF(AG$188-$Q$188&lt;$I203,SLN($G203,$K203,$I203),0)</f>
        <v>0.7230122227564102</v>
      </c>
      <c r="AI203" s="146">
        <f>IF(AI$188-$Q$188&lt;$I203,SLN($G203,$K203,$I203),0)</f>
        <v>0.7230122227564102</v>
      </c>
    </row>
    <row r="204" spans="5:35" ht="12.75">
      <c r="E204" s="200">
        <f>AA188</f>
        <v>2013</v>
      </c>
      <c r="G204" s="146">
        <f>AA50*G203/Y50</f>
        <v>14.604846899679487</v>
      </c>
      <c r="I204" s="199">
        <v>20</v>
      </c>
      <c r="K204" s="43">
        <v>0</v>
      </c>
      <c r="O204" s="203"/>
      <c r="Q204" s="203"/>
      <c r="S204" s="203"/>
      <c r="U204" s="203"/>
      <c r="W204" s="203"/>
      <c r="Y204" s="203"/>
      <c r="AA204" s="146">
        <f>IF(AA$188-$Q$188&lt;$I204,SLN($G204,$K204,$I204),0)</f>
        <v>0.7302423449839743</v>
      </c>
      <c r="AC204" s="146">
        <f>IF(AC$188-$Q$188&lt;$I204,SLN($G204,$K204,$I204),0)</f>
        <v>0.7302423449839743</v>
      </c>
      <c r="AE204" s="146">
        <f>IF(AE$188-$Q$188&lt;$I204,SLN($G204,$K204,$I204),0)</f>
        <v>0.7302423449839743</v>
      </c>
      <c r="AG204" s="146">
        <f>IF(AG$188-$Q$188&lt;$I204,SLN($G204,$K204,$I204),0)</f>
        <v>0.7302423449839743</v>
      </c>
      <c r="AI204" s="146">
        <f>IF(AI$188-$Q$188&lt;$I204,SLN($G204,$K204,$I204),0)</f>
        <v>0.7302423449839743</v>
      </c>
    </row>
    <row r="205" spans="5:35" ht="12.75">
      <c r="E205" s="200">
        <f>AC188</f>
        <v>2014</v>
      </c>
      <c r="G205" s="146">
        <f>AC50*G204/AA50</f>
        <v>14.750895368676282</v>
      </c>
      <c r="I205" s="199">
        <v>20</v>
      </c>
      <c r="K205" s="43">
        <v>0</v>
      </c>
      <c r="O205" s="203"/>
      <c r="Q205" s="203"/>
      <c r="S205" s="203"/>
      <c r="U205" s="203"/>
      <c r="W205" s="203"/>
      <c r="Y205" s="203"/>
      <c r="AA205" s="203"/>
      <c r="AC205" s="146">
        <f>IF(AC$188-$Q$188&lt;$I205,SLN($G205,$K205,$I205),0)</f>
        <v>0.7375447684338141</v>
      </c>
      <c r="AE205" s="146">
        <f>IF(AE$188-$Q$188&lt;$I205,SLN($G205,$K205,$I205),0)</f>
        <v>0.7375447684338141</v>
      </c>
      <c r="AG205" s="146">
        <f>IF(AG$188-$Q$188&lt;$I205,SLN($G205,$K205,$I205),0)</f>
        <v>0.7375447684338141</v>
      </c>
      <c r="AI205" s="146">
        <f>IF(AI$188-$Q$188&lt;$I205,SLN($G205,$K205,$I205),0)</f>
        <v>0.7375447684338141</v>
      </c>
    </row>
    <row r="206" spans="5:35" ht="12.75">
      <c r="E206" s="200">
        <f>AE188</f>
        <v>2015</v>
      </c>
      <c r="G206" s="146">
        <f>AE50*G205/AC50</f>
        <v>14.898404322363046</v>
      </c>
      <c r="I206" s="199">
        <v>20</v>
      </c>
      <c r="K206" s="43">
        <v>0</v>
      </c>
      <c r="O206" s="203"/>
      <c r="Q206" s="203"/>
      <c r="S206" s="203"/>
      <c r="U206" s="203"/>
      <c r="W206" s="203"/>
      <c r="Y206" s="203"/>
      <c r="AA206" s="203"/>
      <c r="AC206" s="203"/>
      <c r="AE206" s="146">
        <f>IF(AE$188-$Q$188&lt;$I206,SLN($G206,$K206,$I206),0)</f>
        <v>0.7449202161181523</v>
      </c>
      <c r="AG206" s="146">
        <f>IF(AG$188-$Q$188&lt;$I206,SLN($G206,$K206,$I206),0)</f>
        <v>0.7449202161181523</v>
      </c>
      <c r="AI206" s="146">
        <f>IF(AI$188-$Q$188&lt;$I206,SLN($G206,$K206,$I206),0)</f>
        <v>0.7449202161181523</v>
      </c>
    </row>
    <row r="207" spans="5:35" ht="12.75">
      <c r="E207" s="200">
        <f>AG188</f>
        <v>2016</v>
      </c>
      <c r="G207" s="146">
        <f>AG50*G206/AE50</f>
        <v>15.047388365586677</v>
      </c>
      <c r="I207" s="199">
        <v>20</v>
      </c>
      <c r="K207" s="43">
        <v>0</v>
      </c>
      <c r="O207" s="203"/>
      <c r="Q207" s="203"/>
      <c r="S207" s="203"/>
      <c r="U207" s="203"/>
      <c r="W207" s="203"/>
      <c r="Y207" s="203"/>
      <c r="AA207" s="203"/>
      <c r="AC207" s="203"/>
      <c r="AE207" s="203"/>
      <c r="AG207" s="146">
        <f>IF(AG$188-$Q$188&lt;$I207,SLN($G207,$K207,$I207),0)</f>
        <v>0.7523694182793339</v>
      </c>
      <c r="AI207" s="146">
        <f>IF(AI$188-$Q$188&lt;$I207,SLN($G207,$K207,$I207),0)</f>
        <v>0.7523694182793339</v>
      </c>
    </row>
    <row r="208" spans="5:35" ht="13.5" thickBot="1">
      <c r="E208" s="200">
        <f>AI188</f>
        <v>2017</v>
      </c>
      <c r="G208" s="146">
        <f>AI50*G207/AG50</f>
        <v>15.197862249242545</v>
      </c>
      <c r="I208" s="199">
        <v>20</v>
      </c>
      <c r="K208" s="43">
        <v>0</v>
      </c>
      <c r="O208" s="203"/>
      <c r="Q208" s="203"/>
      <c r="S208" s="203"/>
      <c r="U208" s="203"/>
      <c r="W208" s="203"/>
      <c r="Y208" s="203"/>
      <c r="AA208" s="203"/>
      <c r="AC208" s="203"/>
      <c r="AE208" s="203"/>
      <c r="AG208" s="203"/>
      <c r="AI208" s="146">
        <f>IF(AI$188-$Q$188&lt;$I208,SLN($G208,$K208,$I208),0)</f>
        <v>0.7598931124621273</v>
      </c>
    </row>
    <row r="209" spans="13:35" ht="12.75">
      <c r="M209" t="s">
        <v>324</v>
      </c>
      <c r="O209" s="108">
        <f>SUM(O199:O208)</f>
        <v>0.13333333333333333</v>
      </c>
      <c r="Q209" s="108">
        <f>SUM(Q199:Q208)</f>
        <v>0.8</v>
      </c>
      <c r="S209" s="108">
        <f>SUM(S199:S208)</f>
        <v>1.505</v>
      </c>
      <c r="U209" s="108">
        <f>SUM(U199:U208)</f>
        <v>2.2137660256410254</v>
      </c>
      <c r="W209" s="108">
        <f>SUM(W199:W208)</f>
        <v>2.9296197115384612</v>
      </c>
      <c r="Y209" s="108">
        <f>SUM(Y199:Y208)</f>
        <v>3.652631934294871</v>
      </c>
      <c r="AA209" s="108">
        <f>SUM(AA199:AA208)</f>
        <v>4.3828742792788455</v>
      </c>
      <c r="AC209" s="108">
        <f>SUM(AC199:AC208)</f>
        <v>5.12041904771266</v>
      </c>
      <c r="AE209" s="108">
        <f>SUM(AE199:AE208)</f>
        <v>5.865339263830812</v>
      </c>
      <c r="AG209" s="108">
        <f>SUM(AG199:AG208)</f>
        <v>6.617708682110146</v>
      </c>
      <c r="AI209" s="108">
        <f>SUM(AI199:AI208)</f>
        <v>7.377601794572273</v>
      </c>
    </row>
    <row r="210" ht="13.5" thickBot="1">
      <c r="B210" s="58"/>
    </row>
    <row r="211" spans="1:35" ht="12.75">
      <c r="A211" s="52"/>
      <c r="B211" s="204" t="s">
        <v>333</v>
      </c>
      <c r="C211" s="181"/>
      <c r="D211" s="181"/>
      <c r="E211" s="182"/>
      <c r="G211" s="24" t="s">
        <v>330</v>
      </c>
      <c r="O211" s="108">
        <f>O209+O195</f>
        <v>2.221595238095238</v>
      </c>
      <c r="Q211" s="108">
        <f>Q209+Q195</f>
        <v>13.32957142857143</v>
      </c>
      <c r="S211" s="108">
        <f>S209+S195</f>
        <v>14.034571428571429</v>
      </c>
      <c r="U211" s="108">
        <f>U209+U195</f>
        <v>14.743337454212455</v>
      </c>
      <c r="W211" s="108">
        <f>W209+W195</f>
        <v>15.45919114010989</v>
      </c>
      <c r="Y211" s="108">
        <f>Y209+Y195</f>
        <v>16.1822033628663</v>
      </c>
      <c r="AA211" s="108">
        <f>AA209+AA195</f>
        <v>16.912445707850274</v>
      </c>
      <c r="AC211" s="108">
        <f>AC209+AC195</f>
        <v>17.64999047628409</v>
      </c>
      <c r="AE211" s="108">
        <f>AE209+AE195</f>
        <v>18.39491069240224</v>
      </c>
      <c r="AG211" s="108">
        <f>AG209+AG195</f>
        <v>19.147280110681574</v>
      </c>
      <c r="AI211" s="108">
        <f>AI209+AI195</f>
        <v>19.9071732231437</v>
      </c>
    </row>
    <row r="212" spans="1:35" ht="12.75">
      <c r="A212" s="52"/>
      <c r="B212" s="205" t="s">
        <v>31</v>
      </c>
      <c r="C212" s="206"/>
      <c r="D212" s="206"/>
      <c r="E212" s="207"/>
      <c r="G212" t="s">
        <v>331</v>
      </c>
      <c r="O212" s="94">
        <f>stub*Q212</f>
        <v>2.3499999999999996</v>
      </c>
      <c r="Q212" s="96">
        <f>'Target P&amp;L'!M22</f>
        <v>14.1</v>
      </c>
      <c r="S212" s="96">
        <f>'Target P&amp;L'!O22</f>
        <v>14.1</v>
      </c>
      <c r="U212" s="96">
        <f>'Target P&amp;L'!Q22</f>
        <v>14.1</v>
      </c>
      <c r="W212" s="96">
        <f>'Target P&amp;L'!S22</f>
        <v>14.241</v>
      </c>
      <c r="Y212" s="96">
        <f>'Target P&amp;L'!U22</f>
        <v>14.38341</v>
      </c>
      <c r="AA212" s="146">
        <f>AA50*Y212/Y50</f>
        <v>14.527244099999999</v>
      </c>
      <c r="AC212" s="146">
        <f>AC50*AA212/AA50</f>
        <v>14.672516541</v>
      </c>
      <c r="AE212" s="146">
        <f>AE50*AC212/AC50</f>
        <v>14.819241706410002</v>
      </c>
      <c r="AG212" s="146">
        <f>AG50*AE212/AE50</f>
        <v>14.967434123474101</v>
      </c>
      <c r="AI212" s="146">
        <f>AI50*AG212/AG50</f>
        <v>15.117108464708842</v>
      </c>
    </row>
    <row r="213" spans="1:5" ht="13.5" thickBot="1">
      <c r="A213" s="52"/>
      <c r="B213" s="184" t="s">
        <v>334</v>
      </c>
      <c r="C213" s="184"/>
      <c r="D213" s="184"/>
      <c r="E213" s="208"/>
    </row>
    <row r="214" spans="1:35" ht="13.5" thickBot="1">
      <c r="A214" s="52"/>
      <c r="B214" s="209">
        <v>0</v>
      </c>
      <c r="C214" s="210"/>
      <c r="D214" s="211" t="str">
        <f>IF(depr=0,"Manual","Computed")</f>
        <v>Computed</v>
      </c>
      <c r="E214" s="210"/>
      <c r="G214" s="10" t="s">
        <v>332</v>
      </c>
      <c r="O214" s="106">
        <f>IF($B$214=0,O212,O211)</f>
        <v>2.3499999999999996</v>
      </c>
      <c r="Q214" s="106">
        <f>IF($B$214=0,Q212,Q211)</f>
        <v>14.1</v>
      </c>
      <c r="S214" s="106">
        <f>IF($B$214=0,S212,S211)</f>
        <v>14.1</v>
      </c>
      <c r="U214" s="106">
        <f>IF($B$214=0,U212,U211)</f>
        <v>14.1</v>
      </c>
      <c r="W214" s="106">
        <f>IF($B$214=0,W212,W211)</f>
        <v>14.241</v>
      </c>
      <c r="Y214" s="106">
        <f>IF($B$214=0,Y212,Y211)</f>
        <v>14.38341</v>
      </c>
      <c r="AA214" s="106">
        <f>IF($B$214=0,AA212,AA211)</f>
        <v>14.527244099999999</v>
      </c>
      <c r="AC214" s="106">
        <f>IF($B$214=0,AC212,AC211)</f>
        <v>14.672516541</v>
      </c>
      <c r="AE214" s="106">
        <f>IF($B$214=0,AE212,AE211)</f>
        <v>14.819241706410002</v>
      </c>
      <c r="AG214" s="106">
        <f>IF($B$214=0,AG212,AG211)</f>
        <v>14.967434123474101</v>
      </c>
      <c r="AI214" s="106">
        <f>IF($B$214=0,AI212,AI211)</f>
        <v>15.117108464708842</v>
      </c>
    </row>
    <row r="215" ht="13.5" thickTop="1"/>
    <row r="216" spans="1:35" ht="12.75">
      <c r="A216" s="4" t="s">
        <v>278</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ht="12.75">
      <c r="A217" s="3" t="str">
        <f>$A$2</f>
        <v>($ in millions, except per share data)</v>
      </c>
    </row>
    <row r="218" spans="15:35" ht="13.5" thickBot="1">
      <c r="O218" s="22" t="str">
        <f>O$46</f>
        <v>2 Mos.</v>
      </c>
      <c r="Q218" s="20" t="str">
        <f>Q$245</f>
        <v>Projected Fiscal Years Ending September 30,</v>
      </c>
      <c r="R218" s="20"/>
      <c r="S218" s="20"/>
      <c r="T218" s="20"/>
      <c r="U218" s="20"/>
      <c r="V218" s="20"/>
      <c r="W218" s="20"/>
      <c r="X218" s="20"/>
      <c r="Y218" s="20"/>
      <c r="Z218" s="20"/>
      <c r="AA218" s="20"/>
      <c r="AB218" s="20"/>
      <c r="AC218" s="20"/>
      <c r="AD218" s="20"/>
      <c r="AE218" s="20"/>
      <c r="AF218" s="20"/>
      <c r="AG218" s="20"/>
      <c r="AH218" s="20"/>
      <c r="AI218" s="20"/>
    </row>
    <row r="219" spans="15:35" ht="12.75">
      <c r="O219" s="22" t="str">
        <f>O$47</f>
        <v>Ending</v>
      </c>
      <c r="Q219" s="81">
        <f>Q$246</f>
        <v>1</v>
      </c>
      <c r="S219" s="81">
        <f>S$246</f>
        <v>2</v>
      </c>
      <c r="U219" s="81">
        <f>U$246</f>
        <v>3</v>
      </c>
      <c r="W219" s="81">
        <f>W$246</f>
        <v>4</v>
      </c>
      <c r="Y219" s="81">
        <f>Y$246</f>
        <v>5</v>
      </c>
      <c r="AA219" s="81">
        <f>AA$246</f>
        <v>6</v>
      </c>
      <c r="AC219" s="81">
        <f>AC$246</f>
        <v>7</v>
      </c>
      <c r="AE219" s="81">
        <f>AE$246</f>
        <v>8</v>
      </c>
      <c r="AG219" s="81">
        <f>AG$246</f>
        <v>9</v>
      </c>
      <c r="AI219" s="81">
        <f>AI$246</f>
        <v>10</v>
      </c>
    </row>
    <row r="220" spans="15:35" ht="13.5" thickBot="1">
      <c r="O220" s="97" t="str">
        <f>O$48</f>
        <v>9/30/2008</v>
      </c>
      <c r="Q220" s="82">
        <f>Q$247</f>
        <v>2008</v>
      </c>
      <c r="S220" s="82">
        <f>S$247</f>
        <v>2009</v>
      </c>
      <c r="U220" s="82">
        <f>U$247</f>
        <v>2010</v>
      </c>
      <c r="W220" s="82">
        <f>W$247</f>
        <v>2011</v>
      </c>
      <c r="Y220" s="82">
        <f>Y$247</f>
        <v>2012</v>
      </c>
      <c r="AA220" s="82">
        <f>AA$247</f>
        <v>2013</v>
      </c>
      <c r="AC220" s="82">
        <f>AC$247</f>
        <v>2014</v>
      </c>
      <c r="AE220" s="82">
        <f>AE$247</f>
        <v>2015</v>
      </c>
      <c r="AG220" s="82">
        <f>AG$247</f>
        <v>2016</v>
      </c>
      <c r="AI220" s="82">
        <f>AI$247</f>
        <v>2017</v>
      </c>
    </row>
    <row r="221" ht="4.5" customHeight="1"/>
    <row r="222" spans="1:35" ht="12.75">
      <c r="A222" t="s">
        <v>279</v>
      </c>
      <c r="O222" s="67">
        <f>tax_rate</f>
        <v>0.35</v>
      </c>
      <c r="Q222" s="67">
        <f>tax_rate</f>
        <v>0.35</v>
      </c>
      <c r="S222" s="67">
        <f>tax_rate</f>
        <v>0.35</v>
      </c>
      <c r="U222" s="67">
        <f>tax_rate</f>
        <v>0.35</v>
      </c>
      <c r="W222" s="67">
        <f>tax_rate</f>
        <v>0.35</v>
      </c>
      <c r="Y222" s="67">
        <f>tax_rate</f>
        <v>0.35</v>
      </c>
      <c r="AA222" s="67">
        <f>tax_rate</f>
        <v>0.35</v>
      </c>
      <c r="AC222" s="67">
        <f>tax_rate</f>
        <v>0.35</v>
      </c>
      <c r="AE222" s="67">
        <f>tax_rate</f>
        <v>0.35</v>
      </c>
      <c r="AG222" s="67">
        <f>tax_rate</f>
        <v>0.35</v>
      </c>
      <c r="AI222" s="67">
        <f>tax_rate</f>
        <v>0.35</v>
      </c>
    </row>
    <row r="224" ht="12.75">
      <c r="A224" s="83" t="s">
        <v>280</v>
      </c>
    </row>
    <row r="225" ht="12.75">
      <c r="B225" t="s">
        <v>281</v>
      </c>
    </row>
    <row r="226" spans="2:35" ht="13.5" thickBot="1">
      <c r="B226" s="177" t="s">
        <v>282</v>
      </c>
      <c r="C226" t="s">
        <v>72</v>
      </c>
      <c r="I226" s="180" t="s">
        <v>296</v>
      </c>
      <c r="J226" s="181"/>
      <c r="K226" s="181"/>
      <c r="L226" s="181"/>
      <c r="M226" s="182"/>
      <c r="O226" s="38">
        <v>0</v>
      </c>
      <c r="P226" s="197"/>
      <c r="Q226" s="94">
        <f>O226</f>
        <v>0</v>
      </c>
      <c r="R226" s="197"/>
      <c r="S226" s="94">
        <f>Q226</f>
        <v>0</v>
      </c>
      <c r="T226" s="197"/>
      <c r="U226" s="94">
        <f>S226</f>
        <v>0</v>
      </c>
      <c r="V226" s="197"/>
      <c r="W226" s="94">
        <f>U226</f>
        <v>0</v>
      </c>
      <c r="X226" s="197"/>
      <c r="Y226" s="94">
        <f>W226</f>
        <v>0</v>
      </c>
      <c r="Z226" s="197"/>
      <c r="AA226" s="94">
        <f>Y226</f>
        <v>0</v>
      </c>
      <c r="AB226" s="197"/>
      <c r="AC226" s="94">
        <f>AA226</f>
        <v>0</v>
      </c>
      <c r="AD226" s="197"/>
      <c r="AE226" s="94">
        <f>AC226</f>
        <v>0</v>
      </c>
      <c r="AF226" s="197"/>
      <c r="AG226" s="94">
        <f>AE226</f>
        <v>0</v>
      </c>
      <c r="AI226" s="94">
        <f>AG226</f>
        <v>0</v>
      </c>
    </row>
    <row r="227" spans="2:35" ht="12.75">
      <c r="B227" s="177" t="s">
        <v>283</v>
      </c>
      <c r="C227" t="str">
        <f>"Adjusted "&amp;B225</f>
        <v>Adjusted Book Taxable Income</v>
      </c>
      <c r="I227" s="183"/>
      <c r="J227" s="184"/>
      <c r="K227" s="185" t="s">
        <v>297</v>
      </c>
      <c r="L227" s="184"/>
      <c r="M227" s="186" t="s">
        <v>298</v>
      </c>
      <c r="O227" s="108">
        <f>SUM(O225:O226)</f>
        <v>0</v>
      </c>
      <c r="Q227" s="108">
        <f>SUM(Q225:Q226)</f>
        <v>0</v>
      </c>
      <c r="S227" s="108">
        <f>SUM(S225:S226)</f>
        <v>0</v>
      </c>
      <c r="U227" s="108">
        <f>SUM(U225:U226)</f>
        <v>0</v>
      </c>
      <c r="W227" s="108">
        <f>SUM(W225:W226)</f>
        <v>0</v>
      </c>
      <c r="Y227" s="108">
        <f>SUM(Y225:Y226)</f>
        <v>0</v>
      </c>
      <c r="AA227" s="108">
        <f>SUM(AA225:AA226)</f>
        <v>0</v>
      </c>
      <c r="AC227" s="108">
        <f>SUM(AC225:AC226)</f>
        <v>0</v>
      </c>
      <c r="AE227" s="108">
        <f>SUM(AE225:AE226)</f>
        <v>0</v>
      </c>
      <c r="AG227" s="108">
        <f>SUM(AG225:AG226)</f>
        <v>0</v>
      </c>
      <c r="AI227" s="108">
        <f>SUM(AI225:AI226)</f>
        <v>0</v>
      </c>
    </row>
    <row r="228" spans="3:35" ht="12.75">
      <c r="C228" t="s">
        <v>284</v>
      </c>
      <c r="I228" s="187" t="s">
        <v>299</v>
      </c>
      <c r="J228" s="44"/>
      <c r="K228" s="188">
        <f>AI7</f>
        <v>5</v>
      </c>
      <c r="L228" s="44"/>
      <c r="M228" s="189">
        <v>15</v>
      </c>
      <c r="O228" s="146">
        <f>O227*O222</f>
        <v>0</v>
      </c>
      <c r="Q228" s="146">
        <f>Q227*Q222</f>
        <v>0</v>
      </c>
      <c r="S228" s="146">
        <f>S227*S222</f>
        <v>0</v>
      </c>
      <c r="U228" s="146">
        <f>U227*U222</f>
        <v>0</v>
      </c>
      <c r="W228" s="146">
        <f>W227*W222</f>
        <v>0</v>
      </c>
      <c r="Y228" s="146">
        <f>Y227*Y222</f>
        <v>0</v>
      </c>
      <c r="AA228" s="146">
        <f>AA227*AA222</f>
        <v>0</v>
      </c>
      <c r="AC228" s="146">
        <f>AC227*AC222</f>
        <v>0</v>
      </c>
      <c r="AE228" s="146">
        <f>AE227*AE222</f>
        <v>0</v>
      </c>
      <c r="AG228" s="146">
        <f>AG227*AG222</f>
        <v>0</v>
      </c>
      <c r="AI228" s="146">
        <f>AI227*AI222</f>
        <v>0</v>
      </c>
    </row>
    <row r="229" spans="9:13" ht="12.75">
      <c r="I229" s="190" t="s">
        <v>258</v>
      </c>
      <c r="J229" s="58"/>
      <c r="K229" s="191">
        <f>AG22/K228</f>
        <v>23.256656374999995</v>
      </c>
      <c r="L229" s="58"/>
      <c r="M229" s="192">
        <f>AI45*AG55/M228</f>
        <v>0</v>
      </c>
    </row>
    <row r="230" ht="12.75">
      <c r="A230" s="83" t="s">
        <v>285</v>
      </c>
    </row>
    <row r="231" spans="2:35" ht="12.75">
      <c r="B231" t="str">
        <f>B225</f>
        <v>Book Taxable Income</v>
      </c>
      <c r="I231" s="180" t="s">
        <v>300</v>
      </c>
      <c r="J231" s="181"/>
      <c r="K231" s="181"/>
      <c r="L231" s="181"/>
      <c r="M231" s="182"/>
      <c r="O231" s="136">
        <f>O225</f>
        <v>0</v>
      </c>
      <c r="Q231" s="136">
        <f>Q225</f>
        <v>0</v>
      </c>
      <c r="S231" s="136">
        <f>S225</f>
        <v>0</v>
      </c>
      <c r="U231" s="136">
        <f>U225</f>
        <v>0</v>
      </c>
      <c r="W231" s="136">
        <f>W225</f>
        <v>0</v>
      </c>
      <c r="Y231" s="136">
        <f>Y225</f>
        <v>0</v>
      </c>
      <c r="AA231" s="136">
        <f>AA225</f>
        <v>0</v>
      </c>
      <c r="AC231" s="136">
        <f>AC225</f>
        <v>0</v>
      </c>
      <c r="AE231" s="136">
        <f>AE225</f>
        <v>0</v>
      </c>
      <c r="AG231" s="136">
        <f>AG225</f>
        <v>0</v>
      </c>
      <c r="AI231" s="136">
        <f>AI225</f>
        <v>0</v>
      </c>
    </row>
    <row r="232" spans="2:35" ht="12.75">
      <c r="B232" s="178" t="s">
        <v>286</v>
      </c>
      <c r="I232" s="183"/>
      <c r="J232" s="184"/>
      <c r="K232" s="185" t="s">
        <v>297</v>
      </c>
      <c r="L232" s="184"/>
      <c r="M232" s="186" t="s">
        <v>298</v>
      </c>
      <c r="O232" s="146">
        <f>stub*K229</f>
        <v>3.8761093958333324</v>
      </c>
      <c r="Q232" s="146">
        <f aca="true" t="shared" si="24" ref="Q232:Q240">O232</f>
        <v>3.8761093958333324</v>
      </c>
      <c r="S232" s="146">
        <f>MIN($K$229,$AG$22-SUM($Q232:Q232))</f>
        <v>23.256656374999995</v>
      </c>
      <c r="U232" s="146">
        <f>MIN($K$229,$AG$22-SUM($Q232:S232))</f>
        <v>23.256656374999995</v>
      </c>
      <c r="W232" s="146">
        <f>MIN($K$229,$AG$22-SUM($Q232:U232))</f>
        <v>23.256656374999995</v>
      </c>
      <c r="Y232" s="146">
        <f>MIN($K$229,$AG$22-SUM($Q232:W232))</f>
        <v>23.256656374999995</v>
      </c>
      <c r="AA232" s="146">
        <f>MIN($K$229,$AG$22-SUM($Q232:Y232))</f>
        <v>19.380546979166667</v>
      </c>
      <c r="AC232" s="146">
        <f>MIN($K$229,$AG$22-SUM($Q232:AA232))</f>
        <v>0</v>
      </c>
      <c r="AE232" s="146">
        <f>MIN($K$229,$AG$22-SUM($Q232:AC232))</f>
        <v>0</v>
      </c>
      <c r="AG232" s="146">
        <f>MIN($K$229,$AG$22-SUM($Q232:AE232))</f>
        <v>0</v>
      </c>
      <c r="AI232" s="146">
        <f>MIN($K$229,$AG$22-SUM($Q232:AG232))</f>
        <v>0</v>
      </c>
    </row>
    <row r="233" spans="2:35" ht="12.75">
      <c r="B233" s="177" t="s">
        <v>287</v>
      </c>
      <c r="I233" s="193" t="s">
        <v>299</v>
      </c>
      <c r="J233" s="6"/>
      <c r="K233" s="194" t="s">
        <v>24</v>
      </c>
      <c r="L233" s="6"/>
      <c r="M233" s="195">
        <f>M228</f>
        <v>15</v>
      </c>
      <c r="O233" s="146">
        <f>$K$145</f>
        <v>0</v>
      </c>
      <c r="Q233" s="146">
        <f t="shared" si="24"/>
        <v>0</v>
      </c>
      <c r="S233" s="146">
        <f>$K$234</f>
        <v>0</v>
      </c>
      <c r="U233" s="146">
        <f>$K$234</f>
        <v>0</v>
      </c>
      <c r="W233" s="146">
        <f>$K$234</f>
        <v>0</v>
      </c>
      <c r="Y233" s="146">
        <f>$K$234</f>
        <v>0</v>
      </c>
      <c r="AA233" s="146">
        <f>$K$234</f>
        <v>0</v>
      </c>
      <c r="AC233" s="146">
        <f>$K$234</f>
        <v>0</v>
      </c>
      <c r="AE233" s="146">
        <f>$K$234</f>
        <v>0</v>
      </c>
      <c r="AG233" s="146">
        <f>$K$234</f>
        <v>0</v>
      </c>
      <c r="AI233" s="146">
        <f>$K$234</f>
        <v>0</v>
      </c>
    </row>
    <row r="234" spans="2:35" ht="12.75">
      <c r="B234" s="177" t="s">
        <v>288</v>
      </c>
      <c r="I234" s="190" t="s">
        <v>258</v>
      </c>
      <c r="J234" s="58"/>
      <c r="K234" s="196">
        <v>0</v>
      </c>
      <c r="L234" s="58"/>
      <c r="M234" s="192">
        <f>AI45*goodwill/M233</f>
        <v>0</v>
      </c>
      <c r="O234" s="146">
        <f>stub*K239</f>
        <v>0.3125</v>
      </c>
      <c r="Q234" s="146">
        <f t="shared" si="24"/>
        <v>0.3125</v>
      </c>
      <c r="S234" s="146">
        <f>MIN($K$239,$AG$21-SUM($Q234:Q234))</f>
        <v>1.875</v>
      </c>
      <c r="U234" s="146">
        <f>MIN($K$239,$AG$21-SUM($Q234:S234))</f>
        <v>1.875</v>
      </c>
      <c r="W234" s="146">
        <f>MIN($K$239,$AG$21-SUM($Q234:U234))</f>
        <v>1.875</v>
      </c>
      <c r="Y234" s="146">
        <f>MIN($K$239,$AG$21-SUM($Q234:W234))</f>
        <v>1.875</v>
      </c>
      <c r="AA234" s="146">
        <f>MIN($K$239,$AG$21-SUM($Q234:Y234))</f>
        <v>1.875</v>
      </c>
      <c r="AC234" s="146">
        <f>MIN($K$239,$AG$21-SUM($Q234:AA234))</f>
        <v>1.875</v>
      </c>
      <c r="AE234" s="146">
        <f>MIN($K$239,$AG$21-SUM($Q234:AC234))</f>
        <v>1.875</v>
      </c>
      <c r="AG234" s="146">
        <f>MIN($K$239,$AG$21-SUM($Q234:AE234))</f>
        <v>1.5625</v>
      </c>
      <c r="AI234" s="146">
        <f>MIN($K$239,$AG$21-SUM($Q234:AG234))</f>
        <v>0</v>
      </c>
    </row>
    <row r="235" spans="2:35" ht="12.75">
      <c r="B235" s="177" t="s">
        <v>289</v>
      </c>
      <c r="O235" s="43">
        <v>0</v>
      </c>
      <c r="Q235" s="146">
        <f t="shared" si="24"/>
        <v>0</v>
      </c>
      <c r="S235" s="43">
        <v>0</v>
      </c>
      <c r="U235" s="43">
        <v>0</v>
      </c>
      <c r="W235" s="43">
        <v>0</v>
      </c>
      <c r="Y235" s="43">
        <v>0</v>
      </c>
      <c r="AA235" s="43">
        <v>0</v>
      </c>
      <c r="AC235" s="43">
        <v>0</v>
      </c>
      <c r="AE235" s="43">
        <v>0</v>
      </c>
      <c r="AG235" s="43">
        <v>0</v>
      </c>
      <c r="AI235" s="43">
        <v>0</v>
      </c>
    </row>
    <row r="236" spans="2:35" ht="12.75">
      <c r="B236" s="179" t="s">
        <v>290</v>
      </c>
      <c r="I236" s="180" t="s">
        <v>301</v>
      </c>
      <c r="J236" s="181"/>
      <c r="K236" s="181"/>
      <c r="L236" s="181"/>
      <c r="M236" s="182"/>
      <c r="O236" s="43">
        <v>0</v>
      </c>
      <c r="Q236" s="37">
        <f t="shared" si="24"/>
        <v>0</v>
      </c>
      <c r="S236" s="43">
        <v>0</v>
      </c>
      <c r="U236" s="43">
        <v>0</v>
      </c>
      <c r="W236" s="43">
        <v>0</v>
      </c>
      <c r="Y236" s="43">
        <v>0</v>
      </c>
      <c r="AA236" s="43">
        <v>0</v>
      </c>
      <c r="AC236" s="43">
        <v>0</v>
      </c>
      <c r="AE236" s="43">
        <v>0</v>
      </c>
      <c r="AG236" s="43">
        <v>0</v>
      </c>
      <c r="AI236" s="43">
        <v>0</v>
      </c>
    </row>
    <row r="237" spans="2:35" ht="12.75">
      <c r="B237" s="177" t="s">
        <v>291</v>
      </c>
      <c r="I237" s="183"/>
      <c r="J237" s="184"/>
      <c r="K237" s="185" t="s">
        <v>297</v>
      </c>
      <c r="L237" s="184"/>
      <c r="M237" s="186" t="s">
        <v>298</v>
      </c>
      <c r="O237" s="146">
        <f>-stub*M229</f>
        <v>0</v>
      </c>
      <c r="Q237" s="37">
        <f t="shared" si="24"/>
        <v>0</v>
      </c>
      <c r="S237" s="37">
        <f>MIN($M$229,$AG$22-SUM($Q237:Q237))</f>
        <v>0</v>
      </c>
      <c r="U237" s="37">
        <f>MIN($M$229,$AG$22-SUM($Q237:S237))</f>
        <v>0</v>
      </c>
      <c r="W237" s="37">
        <f>MIN($M$229,$AG$22-SUM($Q237:U237))</f>
        <v>0</v>
      </c>
      <c r="Y237" s="37">
        <f>MIN($M$229,$AG$22-SUM($Q237:W237))</f>
        <v>0</v>
      </c>
      <c r="AA237" s="37">
        <f>MIN($M$229,$AG$22-SUM($Q237:Y237))</f>
        <v>0</v>
      </c>
      <c r="AC237" s="37">
        <f>MIN($M$229,$AG$22-SUM($Q237:AA237))</f>
        <v>0</v>
      </c>
      <c r="AE237" s="37">
        <f>MIN($M$229,$AG$22-SUM($Q237:AC237))</f>
        <v>0</v>
      </c>
      <c r="AG237" s="37">
        <f>MIN($M$229,$AG$22-SUM($Q237:AE237))</f>
        <v>0</v>
      </c>
      <c r="AI237" s="37">
        <f>MIN($M$229,$AG$22-SUM($Q237:AG237))</f>
        <v>0</v>
      </c>
    </row>
    <row r="238" spans="2:35" ht="12.75">
      <c r="B238" s="177" t="s">
        <v>292</v>
      </c>
      <c r="I238" s="187" t="s">
        <v>299</v>
      </c>
      <c r="J238" s="44"/>
      <c r="K238" s="188">
        <f>AI9</f>
        <v>8</v>
      </c>
      <c r="L238" s="44"/>
      <c r="M238" s="189">
        <v>6</v>
      </c>
      <c r="O238" s="146">
        <f>-stub*M234</f>
        <v>0</v>
      </c>
      <c r="Q238" s="37">
        <f t="shared" si="24"/>
        <v>0</v>
      </c>
      <c r="S238" s="37">
        <f>MIN($M$234,goodwill-SUM($Q238:Q238))</f>
        <v>0</v>
      </c>
      <c r="U238" s="37">
        <f>MIN($M$234,goodwill-SUM($Q238:S238))</f>
        <v>0</v>
      </c>
      <c r="W238" s="37">
        <f>MIN($M$234,goodwill-SUM($Q238:U238))</f>
        <v>0</v>
      </c>
      <c r="Y238" s="37">
        <f>MIN($M$234,goodwill-SUM($Q238:W238))</f>
        <v>0</v>
      </c>
      <c r="AA238" s="37">
        <f>MIN($M$234,goodwill-SUM($Q238:Y238))</f>
        <v>0</v>
      </c>
      <c r="AC238" s="37">
        <f>MIN($M$234,goodwill-SUM($Q238:AA238))</f>
        <v>0</v>
      </c>
      <c r="AE238" s="37">
        <f>MIN($M$234,goodwill-SUM($Q238:AC238))</f>
        <v>0</v>
      </c>
      <c r="AG238" s="37">
        <f>MIN($M$234,goodwill-SUM($Q238:AE238))</f>
        <v>0</v>
      </c>
      <c r="AI238" s="37">
        <f>MIN($M$234,goodwill-SUM($Q238:AG238))</f>
        <v>0</v>
      </c>
    </row>
    <row r="239" spans="2:35" ht="12.75">
      <c r="B239" s="177" t="s">
        <v>293</v>
      </c>
      <c r="I239" s="190" t="s">
        <v>258</v>
      </c>
      <c r="J239" s="58"/>
      <c r="K239" s="191">
        <f>AG21/K238</f>
        <v>1.875</v>
      </c>
      <c r="L239" s="58"/>
      <c r="M239" s="192">
        <f>AI45*AG54/M238</f>
        <v>0</v>
      </c>
      <c r="O239" s="146">
        <f>-stub*M239</f>
        <v>0</v>
      </c>
      <c r="Q239" s="37">
        <f t="shared" si="24"/>
        <v>0</v>
      </c>
      <c r="S239" s="37">
        <f>MIN($M$239,$AG$21-SUM($Q239:Q239))</f>
        <v>0</v>
      </c>
      <c r="U239" s="37">
        <f>MIN($M$239,$AG$21-SUM($Q239:S239))</f>
        <v>0</v>
      </c>
      <c r="W239" s="37">
        <f>MIN($M$239,$AG$21-SUM($Q239:U239))</f>
        <v>0</v>
      </c>
      <c r="Y239" s="37">
        <f>MIN($M$239,$AG$21-SUM($Q239:W239))</f>
        <v>0</v>
      </c>
      <c r="AA239" s="37">
        <f>MIN($M$239,$AG$21-SUM($Q239:Y239))</f>
        <v>0</v>
      </c>
      <c r="AC239" s="37">
        <f>MIN($M$239,$AG$21-SUM($Q239:AA239))</f>
        <v>0</v>
      </c>
      <c r="AE239" s="37">
        <f>MIN($M$239,$AG$21-SUM($Q239:AC239))</f>
        <v>0</v>
      </c>
      <c r="AG239" s="37">
        <f>MIN($M$239,$AG$21-SUM($Q239:AE239))</f>
        <v>0</v>
      </c>
      <c r="AI239" s="37">
        <f>MIN($M$239,$AG$21-SUM($Q239:AG239))</f>
        <v>0</v>
      </c>
    </row>
    <row r="240" spans="2:35" ht="13.5" thickBot="1">
      <c r="B240" s="177" t="s">
        <v>294</v>
      </c>
      <c r="O240" s="43">
        <v>0</v>
      </c>
      <c r="Q240" s="37">
        <f t="shared" si="24"/>
        <v>0</v>
      </c>
      <c r="S240" s="43">
        <v>0</v>
      </c>
      <c r="U240" s="43">
        <v>0</v>
      </c>
      <c r="W240" s="43">
        <v>0</v>
      </c>
      <c r="Y240" s="43">
        <v>0</v>
      </c>
      <c r="AA240" s="43">
        <v>0</v>
      </c>
      <c r="AC240" s="43">
        <v>0</v>
      </c>
      <c r="AE240" s="43">
        <v>0</v>
      </c>
      <c r="AG240" s="43">
        <v>0</v>
      </c>
      <c r="AI240" s="43">
        <v>0</v>
      </c>
    </row>
    <row r="241" spans="2:35" ht="12.75">
      <c r="B241" s="177" t="s">
        <v>295</v>
      </c>
      <c r="O241" s="108">
        <f>SUM(O231:O240)</f>
        <v>4.188609395833332</v>
      </c>
      <c r="Q241" s="108">
        <f>SUM(Q231:Q240)</f>
        <v>4.188609395833332</v>
      </c>
      <c r="S241" s="108">
        <f>SUM(S231:S240)</f>
        <v>25.131656374999995</v>
      </c>
      <c r="U241" s="108">
        <f>SUM(U231:U240)</f>
        <v>25.131656374999995</v>
      </c>
      <c r="W241" s="108">
        <f>SUM(W231:W240)</f>
        <v>25.131656374999995</v>
      </c>
      <c r="Y241" s="108">
        <f>SUM(Y231:Y240)</f>
        <v>25.131656374999995</v>
      </c>
      <c r="AA241" s="108">
        <f>SUM(AA231:AA240)</f>
        <v>21.255546979166667</v>
      </c>
      <c r="AC241" s="108">
        <f>SUM(AC231:AC240)</f>
        <v>1.875</v>
      </c>
      <c r="AE241" s="108">
        <f>SUM(AE231:AE240)</f>
        <v>1.875</v>
      </c>
      <c r="AG241" s="108">
        <f>SUM(AG231:AG240)</f>
        <v>1.5625</v>
      </c>
      <c r="AI241" s="108">
        <f>SUM(AI231:AI240)</f>
        <v>0</v>
      </c>
    </row>
    <row r="243" spans="1:35" ht="12.75">
      <c r="A243" s="4" t="s">
        <v>52</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ht="12.75">
      <c r="A244" s="3" t="str">
        <f>$A$2</f>
        <v>($ in millions, except per share data)</v>
      </c>
    </row>
    <row r="245" spans="17:35" ht="13.5" customHeight="1" thickBot="1">
      <c r="Q245" s="20" t="str">
        <f>"Projected Fiscal Years Ending "&amp;TEXT(fye,"mmmm dd")&amp;","</f>
        <v>Projected Fiscal Years Ending September 30,</v>
      </c>
      <c r="R245" s="20"/>
      <c r="S245" s="20"/>
      <c r="T245" s="20"/>
      <c r="U245" s="20"/>
      <c r="V245" s="20"/>
      <c r="W245" s="20"/>
      <c r="X245" s="20"/>
      <c r="Y245" s="20"/>
      <c r="Z245" s="20"/>
      <c r="AA245" s="20"/>
      <c r="AB245" s="20"/>
      <c r="AC245" s="20"/>
      <c r="AD245" s="20"/>
      <c r="AE245" s="20"/>
      <c r="AF245" s="20"/>
      <c r="AG245" s="20"/>
      <c r="AH245" s="20"/>
      <c r="AI245" s="20"/>
    </row>
    <row r="246" spans="17:35" ht="12.75">
      <c r="Q246" s="87">
        <v>1</v>
      </c>
      <c r="S246" s="81">
        <f>Q246+1</f>
        <v>2</v>
      </c>
      <c r="U246" s="81">
        <f>S246+1</f>
        <v>3</v>
      </c>
      <c r="W246" s="81">
        <f>U246+1</f>
        <v>4</v>
      </c>
      <c r="Y246" s="81">
        <f>W246+1</f>
        <v>5</v>
      </c>
      <c r="AA246" s="81">
        <f>Y246+1</f>
        <v>6</v>
      </c>
      <c r="AC246" s="81">
        <f>AA246+1</f>
        <v>7</v>
      </c>
      <c r="AE246" s="81">
        <f>AC246+1</f>
        <v>8</v>
      </c>
      <c r="AG246" s="81">
        <f>AE246+1</f>
        <v>9</v>
      </c>
      <c r="AI246" s="81">
        <f>AG246+1</f>
        <v>10</v>
      </c>
    </row>
    <row r="247" spans="17:35" ht="13.5" customHeight="1" thickBot="1">
      <c r="Q247" s="88">
        <f>'Target P&amp;L'!M5</f>
        <v>2008</v>
      </c>
      <c r="S247" s="82">
        <f>Q247+1</f>
        <v>2009</v>
      </c>
      <c r="U247" s="82">
        <f>S247+1</f>
        <v>2010</v>
      </c>
      <c r="W247" s="82">
        <f>U247+1</f>
        <v>2011</v>
      </c>
      <c r="Y247" s="82">
        <f>W247+1</f>
        <v>2012</v>
      </c>
      <c r="AA247" s="82">
        <f>Y247+1</f>
        <v>2013</v>
      </c>
      <c r="AC247" s="82">
        <f>AA247+1</f>
        <v>2014</v>
      </c>
      <c r="AE247" s="82">
        <f>AC247+1</f>
        <v>2015</v>
      </c>
      <c r="AG247" s="82">
        <f>AE247+1</f>
        <v>2016</v>
      </c>
      <c r="AI247" s="82">
        <f>AG247+1</f>
        <v>2017</v>
      </c>
    </row>
    <row r="248" ht="12.75">
      <c r="A248" s="83" t="s">
        <v>53</v>
      </c>
    </row>
    <row r="249" spans="2:35" ht="12.75">
      <c r="B249" s="84" t="s">
        <v>54</v>
      </c>
      <c r="Q249" s="35">
        <v>0.14</v>
      </c>
      <c r="S249" s="35">
        <v>0.045</v>
      </c>
      <c r="U249" s="35">
        <v>0.036</v>
      </c>
      <c r="W249" s="35">
        <v>0.024</v>
      </c>
      <c r="Y249" s="35">
        <v>0.024</v>
      </c>
      <c r="AA249" s="35">
        <v>0.024</v>
      </c>
      <c r="AC249" s="35">
        <v>0.024</v>
      </c>
      <c r="AE249" s="35">
        <v>0.024</v>
      </c>
      <c r="AG249" s="35">
        <v>0.024</v>
      </c>
      <c r="AI249" s="35">
        <v>0.024</v>
      </c>
    </row>
    <row r="250" spans="2:35" ht="12.75">
      <c r="B250" s="84" t="s">
        <v>55</v>
      </c>
      <c r="Q250" s="85">
        <f>'Target P&amp;L'!M8</f>
        <v>0.1381366459627329</v>
      </c>
      <c r="S250" s="85">
        <f>'Target P&amp;L'!O8</f>
        <v>0.0216110019646365</v>
      </c>
      <c r="U250" s="85">
        <f>'Target P&amp;L'!Q8</f>
        <v>0.005341880341880323</v>
      </c>
      <c r="W250" s="85">
        <f>'Target P&amp;L'!S8</f>
        <v>0.01</v>
      </c>
      <c r="Y250" s="85">
        <f>'Target P&amp;L'!U8</f>
        <v>0.01</v>
      </c>
      <c r="AA250" s="67">
        <f>Y250</f>
        <v>0.01</v>
      </c>
      <c r="AC250" s="67">
        <f>AA250</f>
        <v>0.01</v>
      </c>
      <c r="AE250" s="67">
        <f>AC250</f>
        <v>0.01</v>
      </c>
      <c r="AG250" s="67">
        <f>AE250</f>
        <v>0.01</v>
      </c>
      <c r="AI250" s="67">
        <f>AG250</f>
        <v>0.01</v>
      </c>
    </row>
    <row r="251" spans="2:35" ht="12.75">
      <c r="B251" s="84" t="s">
        <v>56</v>
      </c>
      <c r="Q251" s="35">
        <v>0.11</v>
      </c>
      <c r="S251" s="35">
        <v>0.02</v>
      </c>
      <c r="U251" s="35">
        <v>0.005</v>
      </c>
      <c r="W251" s="35">
        <v>0.005</v>
      </c>
      <c r="Y251" s="35">
        <v>0.005</v>
      </c>
      <c r="AA251" s="35">
        <v>0.005</v>
      </c>
      <c r="AC251" s="35">
        <v>0.005</v>
      </c>
      <c r="AE251" s="35">
        <v>0.005</v>
      </c>
      <c r="AG251" s="35">
        <v>0.005</v>
      </c>
      <c r="AI251" s="35">
        <v>0.005</v>
      </c>
    </row>
    <row r="252" spans="2:35" ht="4.5" customHeight="1">
      <c r="B252" s="84"/>
      <c r="Q252" s="35"/>
      <c r="S252" s="35"/>
      <c r="U252" s="35"/>
      <c r="W252" s="35"/>
      <c r="Y252" s="35"/>
      <c r="AA252" s="35"/>
      <c r="AC252" s="35"/>
      <c r="AE252" s="35"/>
      <c r="AG252" s="35"/>
      <c r="AI252" s="35"/>
    </row>
    <row r="253" spans="2:35" s="10" customFormat="1" ht="12.75">
      <c r="B253" s="10" t="str">
        <f ca="1">OFFSET(B248,op_case,0)</f>
        <v>Analyst Case</v>
      </c>
      <c r="Q253" s="90">
        <f ca="1">OFFSET(Q248,op_case,0)</f>
        <v>0.1381366459627329</v>
      </c>
      <c r="S253" s="90">
        <f ca="1">OFFSET(S248,op_case,0)</f>
        <v>0.0216110019646365</v>
      </c>
      <c r="U253" s="90">
        <f ca="1">OFFSET(U248,op_case,0)</f>
        <v>0.005341880341880323</v>
      </c>
      <c r="W253" s="90">
        <f ca="1">OFFSET(W248,op_case,0)</f>
        <v>0.01</v>
      </c>
      <c r="Y253" s="90">
        <f ca="1">OFFSET(Y248,op_case,0)</f>
        <v>0.01</v>
      </c>
      <c r="AA253" s="90">
        <f ca="1">OFFSET(AA248,op_case,0)</f>
        <v>0.01</v>
      </c>
      <c r="AC253" s="90">
        <f ca="1">OFFSET(AC248,op_case,0)</f>
        <v>0.01</v>
      </c>
      <c r="AE253" s="90">
        <f ca="1">OFFSET(AE248,op_case,0)</f>
        <v>0.01</v>
      </c>
      <c r="AG253" s="90">
        <f ca="1">OFFSET(AG248,op_case,0)</f>
        <v>0.01</v>
      </c>
      <c r="AI253" s="90">
        <f ca="1">OFFSET(AI248,op_case,0)</f>
        <v>0.01</v>
      </c>
    </row>
    <row r="255" spans="1:35" s="24" customFormat="1" ht="12.75">
      <c r="A255" s="83" t="s">
        <v>57</v>
      </c>
      <c r="Q255" s="86"/>
      <c r="S255" s="86"/>
      <c r="U255" s="86"/>
      <c r="W255" s="86"/>
      <c r="Y255" s="86"/>
      <c r="AA255" s="86"/>
      <c r="AC255" s="86"/>
      <c r="AE255" s="86"/>
      <c r="AG255" s="86"/>
      <c r="AI255" s="86"/>
    </row>
    <row r="256" spans="2:35" ht="12.75">
      <c r="B256" t="str">
        <f>B249</f>
        <v>Management Case</v>
      </c>
      <c r="Q256" s="35">
        <v>0.52</v>
      </c>
      <c r="S256" s="35">
        <v>0.515</v>
      </c>
      <c r="U256" s="35">
        <v>0.515</v>
      </c>
      <c r="W256" s="35">
        <v>0.51</v>
      </c>
      <c r="Y256" s="35">
        <v>0.51</v>
      </c>
      <c r="AA256" s="35">
        <v>0.51</v>
      </c>
      <c r="AC256" s="35">
        <v>0.51</v>
      </c>
      <c r="AE256" s="35">
        <v>0.51</v>
      </c>
      <c r="AG256" s="35">
        <v>0.51</v>
      </c>
      <c r="AI256" s="35">
        <v>0.51</v>
      </c>
    </row>
    <row r="257" spans="2:35" ht="12.75">
      <c r="B257" t="str">
        <f>B250</f>
        <v>Analyst Case</v>
      </c>
      <c r="Q257" s="85">
        <f>'Target P&amp;L'!M11</f>
        <v>0.5230299061340319</v>
      </c>
      <c r="S257" s="85">
        <f>'Target P&amp;L'!O11</f>
        <v>0.5337606837606838</v>
      </c>
      <c r="U257" s="85">
        <f>'Target P&amp;L'!Q11</f>
        <v>0.5360255047821466</v>
      </c>
      <c r="W257" s="85">
        <f>'Target P&amp;L'!S11</f>
        <v>0.5360255047821466</v>
      </c>
      <c r="Y257" s="85">
        <f>'Target P&amp;L'!U11</f>
        <v>0.5360255047821466</v>
      </c>
      <c r="AA257" s="67">
        <f>Y257</f>
        <v>0.5360255047821466</v>
      </c>
      <c r="AC257" s="67">
        <f>AA257</f>
        <v>0.5360255047821466</v>
      </c>
      <c r="AE257" s="67">
        <f>AC257</f>
        <v>0.5360255047821466</v>
      </c>
      <c r="AG257" s="67">
        <f>AE257</f>
        <v>0.5360255047821466</v>
      </c>
      <c r="AI257" s="67">
        <f>AG257</f>
        <v>0.5360255047821466</v>
      </c>
    </row>
    <row r="258" spans="2:35" ht="12.75">
      <c r="B258" t="str">
        <f>B251</f>
        <v>Downside Case</v>
      </c>
      <c r="Q258" s="35">
        <v>0.525</v>
      </c>
      <c r="S258" s="35">
        <v>0.539</v>
      </c>
      <c r="U258" s="35">
        <v>0.542</v>
      </c>
      <c r="W258" s="35">
        <v>0.545</v>
      </c>
      <c r="Y258" s="35">
        <v>0.545</v>
      </c>
      <c r="AA258" s="35">
        <v>0.545</v>
      </c>
      <c r="AC258" s="35">
        <v>0.545</v>
      </c>
      <c r="AE258" s="35">
        <v>0.545</v>
      </c>
      <c r="AG258" s="35">
        <v>0.545</v>
      </c>
      <c r="AI258" s="35">
        <v>0.545</v>
      </c>
    </row>
    <row r="259" ht="4.5" customHeight="1"/>
    <row r="260" spans="2:35" s="10" customFormat="1" ht="12.75">
      <c r="B260" s="10" t="str">
        <f ca="1">OFFSET(B255,op_case,0)</f>
        <v>Analyst Case</v>
      </c>
      <c r="Q260" s="90">
        <f ca="1">OFFSET(Q255,op_case,0)</f>
        <v>0.5230299061340319</v>
      </c>
      <c r="S260" s="90">
        <f ca="1">OFFSET(S255,op_case,0)</f>
        <v>0.5337606837606838</v>
      </c>
      <c r="U260" s="90">
        <f ca="1">OFFSET(U255,op_case,0)</f>
        <v>0.5360255047821466</v>
      </c>
      <c r="W260" s="90">
        <f ca="1">OFFSET(W255,op_case,0)</f>
        <v>0.5360255047821466</v>
      </c>
      <c r="Y260" s="90">
        <f ca="1">OFFSET(Y255,op_case,0)</f>
        <v>0.5360255047821466</v>
      </c>
      <c r="AA260" s="90">
        <f ca="1">OFFSET(AA255,op_case,0)</f>
        <v>0.5360255047821466</v>
      </c>
      <c r="AC260" s="90">
        <f ca="1">OFFSET(AC255,op_case,0)</f>
        <v>0.5360255047821466</v>
      </c>
      <c r="AE260" s="90">
        <f ca="1">OFFSET(AE255,op_case,0)</f>
        <v>0.5360255047821466</v>
      </c>
      <c r="AG260" s="90">
        <f ca="1">OFFSET(AG255,op_case,0)</f>
        <v>0.5360255047821466</v>
      </c>
      <c r="AI260" s="90">
        <f ca="1">OFFSET(AI255,op_case,0)</f>
        <v>0.5360255047821466</v>
      </c>
    </row>
    <row r="262" spans="1:35" s="24" customFormat="1" ht="12.75">
      <c r="A262" s="83" t="s">
        <v>58</v>
      </c>
      <c r="Q262" s="86"/>
      <c r="S262" s="86"/>
      <c r="U262" s="86"/>
      <c r="W262" s="86"/>
      <c r="Y262" s="86"/>
      <c r="AA262" s="86"/>
      <c r="AC262" s="86"/>
      <c r="AE262" s="86"/>
      <c r="AG262" s="86"/>
      <c r="AI262" s="86"/>
    </row>
    <row r="263" spans="2:35" ht="12.75">
      <c r="B263" t="str">
        <f>B256</f>
        <v>Management Case</v>
      </c>
      <c r="Q263" s="35">
        <v>0.19</v>
      </c>
      <c r="S263" s="35">
        <v>0.19</v>
      </c>
      <c r="U263" s="35">
        <v>0.189</v>
      </c>
      <c r="W263" s="35">
        <v>0.188</v>
      </c>
      <c r="Y263" s="35">
        <v>0.187</v>
      </c>
      <c r="AA263" s="35">
        <v>0.187</v>
      </c>
      <c r="AC263" s="35">
        <v>0.187</v>
      </c>
      <c r="AE263" s="35">
        <v>0.187</v>
      </c>
      <c r="AG263" s="35">
        <v>0.187</v>
      </c>
      <c r="AI263" s="35">
        <v>0.187</v>
      </c>
    </row>
    <row r="264" spans="2:35" ht="12.75">
      <c r="B264" t="str">
        <f>B257</f>
        <v>Analyst Case</v>
      </c>
      <c r="Q264" s="85">
        <f>'Target P&amp;L'!M16</f>
        <v>0.19275267408862692</v>
      </c>
      <c r="S264" s="85">
        <f>'Target P&amp;L'!O16</f>
        <v>0.19594017094017094</v>
      </c>
      <c r="U264" s="85">
        <f>'Target P&amp;L'!Q16</f>
        <v>0.19638682252922424</v>
      </c>
      <c r="W264" s="85">
        <f>'Target P&amp;L'!S16</f>
        <v>0.19638682252922424</v>
      </c>
      <c r="Y264" s="85">
        <f>'Target P&amp;L'!U16</f>
        <v>0.19638682252922424</v>
      </c>
      <c r="AA264" s="67">
        <f>Y264</f>
        <v>0.19638682252922424</v>
      </c>
      <c r="AC264" s="67">
        <f>AA264</f>
        <v>0.19638682252922424</v>
      </c>
      <c r="AE264" s="67">
        <f>AC264</f>
        <v>0.19638682252922424</v>
      </c>
      <c r="AG264" s="67">
        <f>AE264</f>
        <v>0.19638682252922424</v>
      </c>
      <c r="AI264" s="67">
        <f>AG264</f>
        <v>0.19638682252922424</v>
      </c>
    </row>
    <row r="265" spans="2:35" ht="12.75">
      <c r="B265" t="str">
        <f>B258</f>
        <v>Downside Case</v>
      </c>
      <c r="Q265" s="35">
        <v>0.196</v>
      </c>
      <c r="S265" s="35">
        <v>0.2</v>
      </c>
      <c r="U265" s="35">
        <v>0.202</v>
      </c>
      <c r="W265" s="35">
        <v>0.204</v>
      </c>
      <c r="Y265" s="35">
        <v>0.205</v>
      </c>
      <c r="AA265" s="35">
        <v>0.205</v>
      </c>
      <c r="AC265" s="35">
        <v>0.205</v>
      </c>
      <c r="AE265" s="35">
        <v>0.205</v>
      </c>
      <c r="AG265" s="35">
        <v>0.205</v>
      </c>
      <c r="AI265" s="35">
        <v>0.205</v>
      </c>
    </row>
    <row r="266" ht="4.5" customHeight="1"/>
    <row r="267" spans="2:35" s="10" customFormat="1" ht="12.75">
      <c r="B267" s="10" t="str">
        <f ca="1">OFFSET(B262,op_case,0)</f>
        <v>Analyst Case</v>
      </c>
      <c r="Q267" s="90">
        <f ca="1">OFFSET(Q262,op_case,0)</f>
        <v>0.19275267408862692</v>
      </c>
      <c r="S267" s="90">
        <f ca="1">OFFSET(S262,op_case,0)</f>
        <v>0.19594017094017094</v>
      </c>
      <c r="U267" s="90">
        <f ca="1">OFFSET(U262,op_case,0)</f>
        <v>0.19638682252922424</v>
      </c>
      <c r="W267" s="90">
        <f ca="1">OFFSET(W262,op_case,0)</f>
        <v>0.19638682252922424</v>
      </c>
      <c r="Y267" s="90">
        <f ca="1">OFFSET(Y262,op_case,0)</f>
        <v>0.19638682252922424</v>
      </c>
      <c r="AA267" s="90">
        <f ca="1">OFFSET(AA262,op_case,0)</f>
        <v>0.19638682252922424</v>
      </c>
      <c r="AC267" s="90">
        <f ca="1">OFFSET(AC262,op_case,0)</f>
        <v>0.19638682252922424</v>
      </c>
      <c r="AE267" s="90">
        <f ca="1">OFFSET(AE262,op_case,0)</f>
        <v>0.19638682252922424</v>
      </c>
      <c r="AG267" s="90">
        <f ca="1">OFFSET(AG262,op_case,0)</f>
        <v>0.19638682252922424</v>
      </c>
      <c r="AI267" s="90">
        <f ca="1">OFFSET(AI262,op_case,0)</f>
        <v>0.19638682252922424</v>
      </c>
    </row>
    <row r="269" ht="12.75">
      <c r="A269" s="83" t="s">
        <v>59</v>
      </c>
    </row>
    <row r="270" spans="2:35" ht="12.75">
      <c r="B270" t="str">
        <f>B263</f>
        <v>Management Case</v>
      </c>
      <c r="Q270" s="35">
        <v>0</v>
      </c>
      <c r="S270" s="35">
        <v>0</v>
      </c>
      <c r="U270" s="35">
        <v>0</v>
      </c>
      <c r="W270" s="35">
        <v>0</v>
      </c>
      <c r="Y270" s="35">
        <v>0</v>
      </c>
      <c r="AA270" s="35">
        <v>0</v>
      </c>
      <c r="AC270" s="35">
        <v>0</v>
      </c>
      <c r="AE270" s="35">
        <v>0</v>
      </c>
      <c r="AG270" s="35">
        <v>0</v>
      </c>
      <c r="AI270" s="35">
        <v>0</v>
      </c>
    </row>
    <row r="271" spans="2:35" ht="12.75">
      <c r="B271" t="str">
        <f>B264</f>
        <v>Analyst Case</v>
      </c>
      <c r="Q271" s="35">
        <v>0</v>
      </c>
      <c r="S271" s="35">
        <v>0</v>
      </c>
      <c r="U271" s="35">
        <v>0</v>
      </c>
      <c r="W271" s="35">
        <v>0</v>
      </c>
      <c r="Y271" s="35">
        <v>0</v>
      </c>
      <c r="AA271" s="35">
        <v>0</v>
      </c>
      <c r="AC271" s="35">
        <v>0</v>
      </c>
      <c r="AE271" s="35">
        <v>0</v>
      </c>
      <c r="AG271" s="35">
        <v>0</v>
      </c>
      <c r="AI271" s="35">
        <v>0</v>
      </c>
    </row>
    <row r="272" spans="2:35" ht="12.75">
      <c r="B272" t="str">
        <f>B265</f>
        <v>Downside Case</v>
      </c>
      <c r="Q272" s="35">
        <v>0</v>
      </c>
      <c r="S272" s="35">
        <v>0</v>
      </c>
      <c r="U272" s="35">
        <v>0</v>
      </c>
      <c r="W272" s="35">
        <v>0</v>
      </c>
      <c r="Y272" s="35">
        <v>0</v>
      </c>
      <c r="AA272" s="35">
        <v>0</v>
      </c>
      <c r="AC272" s="35">
        <v>0</v>
      </c>
      <c r="AE272" s="35">
        <v>0</v>
      </c>
      <c r="AG272" s="35">
        <v>0</v>
      </c>
      <c r="AI272" s="35">
        <v>0</v>
      </c>
    </row>
    <row r="273" ht="4.5" customHeight="1"/>
    <row r="274" spans="2:38" s="10" customFormat="1" ht="12.75">
      <c r="B274" s="10" t="str">
        <f ca="1">OFFSET(B269,op_case,0)</f>
        <v>Analyst Case</v>
      </c>
      <c r="Q274" s="90">
        <f ca="1">OFFSET(Q269,op_case,0)</f>
        <v>0</v>
      </c>
      <c r="S274" s="90">
        <f ca="1">OFFSET(S269,op_case,0)</f>
        <v>0</v>
      </c>
      <c r="U274" s="90">
        <f ca="1">OFFSET(U269,op_case,0)</f>
        <v>0</v>
      </c>
      <c r="W274" s="90">
        <f ca="1">OFFSET(W269,op_case,0)</f>
        <v>0</v>
      </c>
      <c r="Y274" s="90">
        <f ca="1">OFFSET(Y269,op_case,0)</f>
        <v>0</v>
      </c>
      <c r="AA274" s="90">
        <f ca="1">OFFSET(AA269,op_case,0)</f>
        <v>0</v>
      </c>
      <c r="AC274" s="90">
        <f ca="1">OFFSET(AC269,op_case,0)</f>
        <v>0</v>
      </c>
      <c r="AE274" s="90">
        <f ca="1">OFFSET(AE269,op_case,0)</f>
        <v>0</v>
      </c>
      <c r="AG274" s="90">
        <f ca="1">OFFSET(AG269,op_case,0)</f>
        <v>0</v>
      </c>
      <c r="AI274" s="90">
        <f ca="1">OFFSET(AI269,op_case,0)</f>
        <v>0</v>
      </c>
      <c r="AJ274"/>
      <c r="AK274"/>
      <c r="AL274"/>
    </row>
    <row r="276" spans="1:35" ht="12.75">
      <c r="A276" s="4" t="s">
        <v>192</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ht="12.75">
      <c r="A277" s="3" t="str">
        <f>$A$2</f>
        <v>($ in millions, except per share data)</v>
      </c>
    </row>
    <row r="278" ht="12.75">
      <c r="S278" s="22" t="s">
        <v>193</v>
      </c>
    </row>
    <row r="279" spans="7:19" ht="13.5" customHeight="1" thickBot="1">
      <c r="G279" s="100" t="s">
        <v>194</v>
      </c>
      <c r="H279" s="100"/>
      <c r="I279" s="100"/>
      <c r="J279" s="100"/>
      <c r="K279" s="100"/>
      <c r="L279" s="100"/>
      <c r="M279" s="100"/>
      <c r="N279" s="100"/>
      <c r="O279" s="100"/>
      <c r="P279" s="100"/>
      <c r="Q279" s="100"/>
      <c r="S279" s="82" t="s">
        <v>195</v>
      </c>
    </row>
    <row r="280" spans="1:19" ht="12.75">
      <c r="A280" s="24" t="s">
        <v>195</v>
      </c>
      <c r="G280" s="138">
        <v>1</v>
      </c>
      <c r="H280" s="110"/>
      <c r="I280" s="139">
        <f>G280+1</f>
        <v>2</v>
      </c>
      <c r="J280" s="110"/>
      <c r="K280" s="139">
        <f>I280+1</f>
        <v>3</v>
      </c>
      <c r="L280" s="139"/>
      <c r="M280" s="139">
        <f>K280+1</f>
        <v>4</v>
      </c>
      <c r="N280" s="110"/>
      <c r="O280" s="139">
        <f>M280+1</f>
        <v>5</v>
      </c>
      <c r="P280" s="110"/>
      <c r="Q280" s="139">
        <f>O280+1</f>
        <v>6</v>
      </c>
      <c r="S280" s="140">
        <f>fin_case</f>
        <v>4</v>
      </c>
    </row>
    <row r="281" spans="1:38" s="141" customFormat="1" ht="12.75" customHeight="1">
      <c r="A281" s="5"/>
      <c r="B281" s="5"/>
      <c r="C281" s="5"/>
      <c r="D281" s="5"/>
      <c r="E281" s="5"/>
      <c r="G281" s="5"/>
      <c r="H281" s="5"/>
      <c r="I281" s="5"/>
      <c r="J281" s="5"/>
      <c r="K281" s="5"/>
      <c r="L281" s="5"/>
      <c r="M281" s="5"/>
      <c r="N281" s="5"/>
      <c r="O281" s="5"/>
      <c r="P281" s="5"/>
      <c r="Q281" s="5"/>
      <c r="R281" s="5"/>
      <c r="S281" s="5"/>
      <c r="T281" s="5"/>
      <c r="X281" s="5"/>
      <c r="Y281" s="5"/>
      <c r="Z281" s="5"/>
      <c r="AA281" s="5"/>
      <c r="AB281" s="5"/>
      <c r="AC281" s="5"/>
      <c r="AD281" s="5"/>
      <c r="AE281" s="5"/>
      <c r="AF281" s="5"/>
      <c r="AG281" s="5"/>
      <c r="AH281" s="5"/>
      <c r="AI281" s="5"/>
      <c r="AJ281" s="5"/>
      <c r="AK281" s="5"/>
      <c r="AL281" s="5"/>
    </row>
    <row r="282" spans="1:38" ht="12.75">
      <c r="A282" s="142" t="s">
        <v>196</v>
      </c>
      <c r="C282" s="141"/>
      <c r="D282" s="141"/>
      <c r="E282" s="141"/>
      <c r="G282" s="143" t="s">
        <v>197</v>
      </c>
      <c r="H282" s="143"/>
      <c r="I282" s="143" t="s">
        <v>198</v>
      </c>
      <c r="J282" s="143"/>
      <c r="K282" s="143" t="s">
        <v>199</v>
      </c>
      <c r="L282" s="143"/>
      <c r="M282" s="143" t="s">
        <v>200</v>
      </c>
      <c r="N282" s="143"/>
      <c r="O282" s="143" t="s">
        <v>201</v>
      </c>
      <c r="P282" s="143"/>
      <c r="Q282" s="143" t="s">
        <v>202</v>
      </c>
      <c r="R282" s="143"/>
      <c r="S282" s="143" t="str">
        <f ca="1">OFFSET(E282,0,$S$280*2)</f>
        <v>LBO A</v>
      </c>
      <c r="T282" s="141"/>
      <c r="X282" s="141"/>
      <c r="Y282" s="141"/>
      <c r="Z282" s="141"/>
      <c r="AA282" s="141"/>
      <c r="AB282" s="141"/>
      <c r="AC282" s="141"/>
      <c r="AD282" s="141"/>
      <c r="AE282" s="141"/>
      <c r="AF282" s="141"/>
      <c r="AG282" s="141"/>
      <c r="AH282" s="141"/>
      <c r="AI282" s="141"/>
      <c r="AJ282" s="141"/>
      <c r="AK282" s="141"/>
      <c r="AL282" s="141"/>
    </row>
    <row r="284" ht="12.75" customHeight="1">
      <c r="A284" s="83" t="s">
        <v>204</v>
      </c>
    </row>
    <row r="285" spans="2:19" ht="12.75" customHeight="1">
      <c r="B285" t="s">
        <v>206</v>
      </c>
      <c r="G285" s="144">
        <v>0</v>
      </c>
      <c r="H285" s="76"/>
      <c r="I285" s="77">
        <v>0</v>
      </c>
      <c r="J285" s="76"/>
      <c r="K285" s="77">
        <v>0</v>
      </c>
      <c r="L285" s="76"/>
      <c r="M285" s="74">
        <f>I69-min_cash</f>
        <v>116.606</v>
      </c>
      <c r="N285" s="76"/>
      <c r="O285" s="74">
        <f>M285</f>
        <v>116.606</v>
      </c>
      <c r="P285" s="76"/>
      <c r="Q285" s="74">
        <f>O285</f>
        <v>116.606</v>
      </c>
      <c r="S285" s="136">
        <f aca="true" ca="1" t="shared" si="25" ref="S285:S300">OFFSET(E285,0,$S$280*2)</f>
        <v>116.606</v>
      </c>
    </row>
    <row r="286" spans="2:19" ht="12.75" customHeight="1">
      <c r="B286" t="s">
        <v>207</v>
      </c>
      <c r="G286" s="43">
        <v>0</v>
      </c>
      <c r="I286" s="146">
        <f>I307</f>
        <v>230</v>
      </c>
      <c r="J286" s="37"/>
      <c r="K286" s="146">
        <f>K307</f>
        <v>230</v>
      </c>
      <c r="L286" s="37"/>
      <c r="M286" s="146">
        <f>M307</f>
        <v>230</v>
      </c>
      <c r="N286" s="37"/>
      <c r="O286" s="146">
        <f>O307</f>
        <v>230</v>
      </c>
      <c r="P286" s="37"/>
      <c r="Q286" s="146">
        <f>Q307</f>
        <v>230</v>
      </c>
      <c r="S286" s="146">
        <f ca="1" t="shared" si="25"/>
        <v>230</v>
      </c>
    </row>
    <row r="287" spans="2:19" ht="12.75" customHeight="1">
      <c r="B287" t="s">
        <v>223</v>
      </c>
      <c r="G287" s="43">
        <v>0</v>
      </c>
      <c r="H287" s="37"/>
      <c r="I287" s="146">
        <f>I310</f>
        <v>0</v>
      </c>
      <c r="J287" s="37"/>
      <c r="K287" s="146">
        <f>K310</f>
        <v>0</v>
      </c>
      <c r="L287" s="37"/>
      <c r="M287" s="146">
        <f>M310</f>
        <v>0</v>
      </c>
      <c r="N287" s="37"/>
      <c r="O287" s="146">
        <f>O310</f>
        <v>0</v>
      </c>
      <c r="P287" s="37"/>
      <c r="Q287" s="146">
        <f>Q310</f>
        <v>0</v>
      </c>
      <c r="S287" s="146">
        <f ca="1" t="shared" si="25"/>
        <v>0</v>
      </c>
    </row>
    <row r="288" spans="2:19" ht="12.75">
      <c r="B288" t="s">
        <v>182</v>
      </c>
      <c r="G288" s="43">
        <v>0</v>
      </c>
      <c r="H288" s="37"/>
      <c r="I288" s="43">
        <v>0</v>
      </c>
      <c r="J288" s="37"/>
      <c r="K288" s="43">
        <v>0</v>
      </c>
      <c r="L288" s="37"/>
      <c r="M288" s="43">
        <v>0</v>
      </c>
      <c r="N288" s="37"/>
      <c r="O288" s="43">
        <v>0</v>
      </c>
      <c r="P288" s="37"/>
      <c r="Q288" s="43">
        <v>0</v>
      </c>
      <c r="S288" s="146">
        <f ca="1" t="shared" si="25"/>
        <v>0</v>
      </c>
    </row>
    <row r="289" spans="2:19" ht="12.75">
      <c r="B289" s="84" t="s">
        <v>183</v>
      </c>
      <c r="C289" s="84"/>
      <c r="G289" s="43">
        <v>0</v>
      </c>
      <c r="H289" s="37"/>
      <c r="I289" s="39">
        <f>I315-SUM(I290:I300,I285:I288)</f>
        <v>-29.209183673469397</v>
      </c>
      <c r="J289" s="37"/>
      <c r="K289" s="39">
        <f>K315-SUM(K290:K300,K285:K288)</f>
        <v>-73.9795918367347</v>
      </c>
      <c r="L289" s="37"/>
      <c r="M289" s="38">
        <v>150</v>
      </c>
      <c r="N289" s="37"/>
      <c r="O289" s="38">
        <v>0</v>
      </c>
      <c r="P289" s="37"/>
      <c r="Q289" s="38">
        <v>50</v>
      </c>
      <c r="S289" s="146">
        <f ca="1" t="shared" si="25"/>
        <v>150</v>
      </c>
    </row>
    <row r="290" spans="2:19" ht="12.75">
      <c r="B290" s="84" t="s">
        <v>184</v>
      </c>
      <c r="C290" s="84"/>
      <c r="G290" s="43">
        <v>0</v>
      </c>
      <c r="H290" s="37"/>
      <c r="I290" s="38">
        <v>0</v>
      </c>
      <c r="J290" s="37"/>
      <c r="K290" s="38">
        <v>0</v>
      </c>
      <c r="L290" s="37"/>
      <c r="M290" s="38">
        <v>0</v>
      </c>
      <c r="N290" s="37"/>
      <c r="O290" s="38">
        <v>75</v>
      </c>
      <c r="P290" s="37"/>
      <c r="Q290" s="38">
        <v>0</v>
      </c>
      <c r="S290" s="146">
        <f ca="1" t="shared" si="25"/>
        <v>0</v>
      </c>
    </row>
    <row r="291" spans="2:19" ht="12.75">
      <c r="B291" s="84" t="s">
        <v>185</v>
      </c>
      <c r="C291" s="84"/>
      <c r="G291" s="43">
        <v>0</v>
      </c>
      <c r="H291" s="37"/>
      <c r="I291" s="38">
        <v>50</v>
      </c>
      <c r="J291" s="37"/>
      <c r="K291" s="38">
        <v>100</v>
      </c>
      <c r="L291" s="37"/>
      <c r="M291" s="38">
        <v>75</v>
      </c>
      <c r="N291" s="37"/>
      <c r="O291" s="38">
        <v>100</v>
      </c>
      <c r="P291" s="37"/>
      <c r="Q291" s="38">
        <v>100</v>
      </c>
      <c r="S291" s="146">
        <f ca="1" t="shared" si="25"/>
        <v>75</v>
      </c>
    </row>
    <row r="292" spans="2:19" ht="12.75">
      <c r="B292" s="84" t="s">
        <v>186</v>
      </c>
      <c r="C292" s="84"/>
      <c r="G292" s="43">
        <v>0</v>
      </c>
      <c r="H292" s="37"/>
      <c r="I292" s="43">
        <v>0</v>
      </c>
      <c r="J292" s="37"/>
      <c r="K292" s="43">
        <v>0</v>
      </c>
      <c r="L292" s="37"/>
      <c r="M292" s="43">
        <v>0</v>
      </c>
      <c r="N292" s="37"/>
      <c r="O292" s="43">
        <v>0</v>
      </c>
      <c r="P292" s="37"/>
      <c r="Q292" s="43">
        <v>50</v>
      </c>
      <c r="S292" s="146">
        <f ca="1" t="shared" si="25"/>
        <v>0</v>
      </c>
    </row>
    <row r="293" spans="2:19" ht="12.75">
      <c r="B293" s="84" t="s">
        <v>187</v>
      </c>
      <c r="C293" s="84"/>
      <c r="G293" s="43">
        <v>0</v>
      </c>
      <c r="H293" s="37"/>
      <c r="I293" s="43">
        <v>0</v>
      </c>
      <c r="J293" s="37"/>
      <c r="K293" s="43">
        <v>0</v>
      </c>
      <c r="L293" s="37"/>
      <c r="M293" s="43">
        <v>0</v>
      </c>
      <c r="N293" s="37"/>
      <c r="O293" s="43">
        <v>0</v>
      </c>
      <c r="P293" s="37"/>
      <c r="Q293" s="43">
        <v>0</v>
      </c>
      <c r="S293" s="146">
        <f ca="1" t="shared" si="25"/>
        <v>0</v>
      </c>
    </row>
    <row r="294" spans="2:19" ht="12.75">
      <c r="B294" s="84" t="s">
        <v>188</v>
      </c>
      <c r="C294" s="84"/>
      <c r="G294" s="43">
        <v>0</v>
      </c>
      <c r="H294" s="37"/>
      <c r="I294" s="43">
        <v>0</v>
      </c>
      <c r="J294" s="37"/>
      <c r="K294" s="43">
        <v>0</v>
      </c>
      <c r="L294" s="37"/>
      <c r="M294" s="43">
        <v>0</v>
      </c>
      <c r="N294" s="37"/>
      <c r="O294" s="43">
        <v>0</v>
      </c>
      <c r="P294" s="37"/>
      <c r="Q294" s="43">
        <v>0</v>
      </c>
      <c r="S294" s="146">
        <f ca="1" t="shared" si="25"/>
        <v>0</v>
      </c>
    </row>
    <row r="295" spans="2:19" ht="12.75">
      <c r="B295" s="84" t="s">
        <v>189</v>
      </c>
      <c r="C295" s="84"/>
      <c r="G295" s="43">
        <v>0</v>
      </c>
      <c r="H295" s="37"/>
      <c r="I295" s="43">
        <v>0</v>
      </c>
      <c r="J295" s="37"/>
      <c r="K295" s="43">
        <v>0</v>
      </c>
      <c r="L295" s="37"/>
      <c r="M295" s="43">
        <v>10</v>
      </c>
      <c r="N295" s="37"/>
      <c r="O295" s="43">
        <v>75</v>
      </c>
      <c r="P295" s="37"/>
      <c r="Q295" s="43">
        <v>0</v>
      </c>
      <c r="S295" s="146">
        <f ca="1" t="shared" si="25"/>
        <v>10</v>
      </c>
    </row>
    <row r="296" spans="2:19" ht="12.75">
      <c r="B296" s="84" t="s">
        <v>190</v>
      </c>
      <c r="C296" s="84"/>
      <c r="G296" s="43">
        <v>0</v>
      </c>
      <c r="H296" s="37"/>
      <c r="I296" s="43">
        <v>0</v>
      </c>
      <c r="J296" s="37"/>
      <c r="K296" s="43">
        <v>0</v>
      </c>
      <c r="L296" s="37"/>
      <c r="M296" s="43">
        <v>0</v>
      </c>
      <c r="N296" s="37"/>
      <c r="O296" s="43">
        <v>0</v>
      </c>
      <c r="P296" s="37"/>
      <c r="Q296" s="43">
        <v>0</v>
      </c>
      <c r="S296" s="146">
        <f ca="1" t="shared" si="25"/>
        <v>0</v>
      </c>
    </row>
    <row r="297" spans="2:19" ht="12.75">
      <c r="B297" t="s">
        <v>208</v>
      </c>
      <c r="G297" s="43">
        <v>0</v>
      </c>
      <c r="I297" s="43">
        <v>0</v>
      </c>
      <c r="K297" s="43">
        <v>0</v>
      </c>
      <c r="M297" s="147">
        <f>M315-SUM(M298:M300,M285:M296)</f>
        <v>233.6364471574999</v>
      </c>
      <c r="O297" s="147">
        <f>O315-SUM(O298:O300,O285:O296)</f>
        <v>217.5114471574999</v>
      </c>
      <c r="Q297" s="147">
        <f>Q315-SUM(Q298:Q300,Q285:Q296)</f>
        <v>248.6989471574999</v>
      </c>
      <c r="S297" s="146">
        <f ca="1" t="shared" si="25"/>
        <v>233.6364471574999</v>
      </c>
    </row>
    <row r="298" spans="2:19" ht="12.75">
      <c r="B298" t="s">
        <v>209</v>
      </c>
      <c r="G298" s="43">
        <v>0</v>
      </c>
      <c r="I298" s="43">
        <v>0</v>
      </c>
      <c r="K298" s="43">
        <v>0</v>
      </c>
      <c r="M298" s="43">
        <v>0</v>
      </c>
      <c r="O298" s="43">
        <v>0</v>
      </c>
      <c r="Q298" s="43">
        <v>20</v>
      </c>
      <c r="S298" s="146">
        <f ca="1" t="shared" si="25"/>
        <v>0</v>
      </c>
    </row>
    <row r="299" spans="2:19" ht="12.75">
      <c r="B299" t="s">
        <v>210</v>
      </c>
      <c r="G299" s="43">
        <v>0</v>
      </c>
      <c r="I299" s="43">
        <v>0</v>
      </c>
      <c r="K299" s="43">
        <v>0</v>
      </c>
      <c r="M299" s="43">
        <v>0</v>
      </c>
      <c r="O299" s="43">
        <v>0</v>
      </c>
      <c r="Q299" s="43">
        <v>0</v>
      </c>
      <c r="S299" s="146">
        <f ca="1" t="shared" si="25"/>
        <v>0</v>
      </c>
    </row>
    <row r="300" spans="2:19" ht="13.5" customHeight="1" thickBot="1">
      <c r="B300" t="s">
        <v>66</v>
      </c>
      <c r="G300" s="43">
        <v>0</v>
      </c>
      <c r="I300" s="43">
        <v>0</v>
      </c>
      <c r="K300" s="43">
        <v>0</v>
      </c>
      <c r="M300" s="43">
        <v>0</v>
      </c>
      <c r="O300" s="43">
        <v>0</v>
      </c>
      <c r="Q300" s="43">
        <v>0</v>
      </c>
      <c r="S300" s="146">
        <f ca="1" t="shared" si="25"/>
        <v>0</v>
      </c>
    </row>
    <row r="301" spans="3:19" ht="13.5" customHeight="1" thickBot="1">
      <c r="C301" s="10" t="s">
        <v>205</v>
      </c>
      <c r="G301" s="106">
        <f>SUM(G285:G300)</f>
        <v>0</v>
      </c>
      <c r="I301" s="106">
        <f>SUM(I285:I300)</f>
        <v>250.7908163265306</v>
      </c>
      <c r="K301" s="106">
        <f>SUM(K285:K300)</f>
        <v>256.0204081632653</v>
      </c>
      <c r="M301" s="106">
        <f>SUM(M285:M300)</f>
        <v>815.2424471574999</v>
      </c>
      <c r="O301" s="106">
        <f>SUM(O285:O300)</f>
        <v>814.1174471574999</v>
      </c>
      <c r="Q301" s="106">
        <f>SUM(Q285:Q300)</f>
        <v>815.3049471574999</v>
      </c>
      <c r="S301" s="148">
        <f>SUM(S285:S300)</f>
        <v>815.2424471574999</v>
      </c>
    </row>
    <row r="302" ht="13.5" thickTop="1"/>
    <row r="303" spans="1:38" s="76" customFormat="1" ht="12.75" customHeight="1">
      <c r="A303" s="83" t="s">
        <v>211</v>
      </c>
      <c r="B303" s="5"/>
      <c r="C303" s="5"/>
      <c r="D303" s="5"/>
      <c r="E303" s="5"/>
      <c r="F303" s="5"/>
      <c r="G303" s="5"/>
      <c r="H303" s="5"/>
      <c r="I303" s="5"/>
      <c r="J303" s="5"/>
      <c r="K303" s="5"/>
      <c r="L303" s="5"/>
      <c r="M303" s="5"/>
      <c r="N303" s="5"/>
      <c r="O303" s="5"/>
      <c r="P303" s="5"/>
      <c r="Q303" s="5"/>
      <c r="R303" s="5"/>
      <c r="S303" s="5"/>
      <c r="T303" s="5"/>
      <c r="X303" s="5"/>
      <c r="Y303" s="5"/>
      <c r="Z303" s="5"/>
      <c r="AA303" s="5"/>
      <c r="AB303" s="5"/>
      <c r="AC303" s="5"/>
      <c r="AD303" s="5"/>
      <c r="AE303" s="5"/>
      <c r="AF303" s="5"/>
      <c r="AG303" s="5"/>
      <c r="AH303" s="5"/>
      <c r="AI303" s="5"/>
      <c r="AJ303" s="5"/>
      <c r="AK303" s="5"/>
      <c r="AL303" s="5"/>
    </row>
    <row r="304" spans="1:38" ht="12.75" customHeight="1">
      <c r="A304" s="76"/>
      <c r="B304" s="76" t="s">
        <v>217</v>
      </c>
      <c r="C304" s="76"/>
      <c r="D304" s="76"/>
      <c r="F304" s="76"/>
      <c r="G304" s="144">
        <v>0</v>
      </c>
      <c r="H304" s="76"/>
      <c r="I304" s="77">
        <v>0</v>
      </c>
      <c r="J304" s="76"/>
      <c r="K304" s="77">
        <v>0</v>
      </c>
      <c r="L304" s="76"/>
      <c r="M304" s="74">
        <f>Y11</f>
        <v>562.9861275</v>
      </c>
      <c r="N304" s="76"/>
      <c r="O304" s="74">
        <f>M304</f>
        <v>562.9861275</v>
      </c>
      <c r="P304" s="76"/>
      <c r="Q304" s="74">
        <f>O304</f>
        <v>562.9861275</v>
      </c>
      <c r="R304" s="76"/>
      <c r="S304" s="136">
        <f aca="true" ca="1" t="shared" si="26" ref="S304:S314">OFFSET(E304,0,$S$280*2)</f>
        <v>562.9861275</v>
      </c>
      <c r="T304" s="76"/>
      <c r="X304" s="76"/>
      <c r="Y304" s="76"/>
      <c r="Z304" s="76"/>
      <c r="AA304" s="76"/>
      <c r="AB304" s="76"/>
      <c r="AC304" s="76"/>
      <c r="AD304" s="76"/>
      <c r="AE304" s="76"/>
      <c r="AF304" s="76"/>
      <c r="AG304" s="76"/>
      <c r="AH304" s="76"/>
      <c r="AI304" s="76"/>
      <c r="AJ304" s="76"/>
      <c r="AK304" s="76"/>
      <c r="AL304" s="76"/>
    </row>
    <row r="305" spans="2:29" ht="12.75" customHeight="1">
      <c r="B305" s="76" t="s">
        <v>210</v>
      </c>
      <c r="G305" s="43">
        <v>0</v>
      </c>
      <c r="I305" s="43">
        <v>0</v>
      </c>
      <c r="J305" s="37"/>
      <c r="K305" s="43">
        <v>0</v>
      </c>
      <c r="L305" s="37"/>
      <c r="M305" s="43">
        <v>0</v>
      </c>
      <c r="N305" s="37"/>
      <c r="O305" s="43">
        <v>0</v>
      </c>
      <c r="P305" s="37"/>
      <c r="Q305" s="43">
        <v>0</v>
      </c>
      <c r="S305" s="146">
        <f ca="1" t="shared" si="26"/>
        <v>0</v>
      </c>
      <c r="Y305" s="60"/>
      <c r="AC305" s="60"/>
    </row>
    <row r="306" spans="2:29" ht="12.75">
      <c r="B306" s="76" t="s">
        <v>218</v>
      </c>
      <c r="G306" s="43">
        <v>0</v>
      </c>
      <c r="I306" s="38">
        <v>10</v>
      </c>
      <c r="J306" s="37"/>
      <c r="K306" s="38">
        <v>15</v>
      </c>
      <c r="L306" s="37"/>
      <c r="M306" s="38">
        <v>0</v>
      </c>
      <c r="N306" s="37"/>
      <c r="O306" s="38">
        <v>0</v>
      </c>
      <c r="P306" s="37"/>
      <c r="Q306" s="38">
        <v>0</v>
      </c>
      <c r="S306" s="146">
        <f ca="1" t="shared" si="26"/>
        <v>0</v>
      </c>
      <c r="Y306" s="60"/>
      <c r="AC306" s="60"/>
    </row>
    <row r="307" spans="2:19" ht="12.75">
      <c r="B307" s="76" t="s">
        <v>219</v>
      </c>
      <c r="G307" s="43">
        <v>0</v>
      </c>
      <c r="I307" s="39">
        <f>(I89+I101)*(1-refi)</f>
        <v>230</v>
      </c>
      <c r="J307" s="37"/>
      <c r="K307" s="39">
        <f>I307</f>
        <v>230</v>
      </c>
      <c r="L307" s="37"/>
      <c r="M307" s="39">
        <f>K307</f>
        <v>230</v>
      </c>
      <c r="N307" s="37"/>
      <c r="O307" s="39">
        <f>M307</f>
        <v>230</v>
      </c>
      <c r="P307" s="37"/>
      <c r="Q307" s="39">
        <f>O307</f>
        <v>230</v>
      </c>
      <c r="S307" s="146">
        <f ca="1" t="shared" si="26"/>
        <v>230</v>
      </c>
    </row>
    <row r="308" spans="2:19" ht="12.75">
      <c r="B308" s="76" t="s">
        <v>212</v>
      </c>
      <c r="G308" s="43">
        <v>0</v>
      </c>
      <c r="I308" s="39">
        <f>(I89+I101)*refi</f>
        <v>0</v>
      </c>
      <c r="J308" s="37"/>
      <c r="K308" s="39">
        <f>I308</f>
        <v>0</v>
      </c>
      <c r="L308" s="37"/>
      <c r="M308" s="39">
        <f>K308</f>
        <v>0</v>
      </c>
      <c r="N308" s="37"/>
      <c r="O308" s="39">
        <f>M308</f>
        <v>0</v>
      </c>
      <c r="P308" s="37"/>
      <c r="Q308" s="39">
        <f>O308</f>
        <v>0</v>
      </c>
      <c r="S308" s="146">
        <f ca="1" t="shared" si="26"/>
        <v>0</v>
      </c>
    </row>
    <row r="309" spans="2:19" ht="12.75">
      <c r="B309" s="76" t="s">
        <v>213</v>
      </c>
      <c r="G309" s="43">
        <v>0</v>
      </c>
      <c r="I309" s="43">
        <v>0</v>
      </c>
      <c r="J309" s="37"/>
      <c r="K309" s="43">
        <v>0</v>
      </c>
      <c r="L309" s="37"/>
      <c r="M309" s="43">
        <v>0</v>
      </c>
      <c r="N309" s="37"/>
      <c r="O309" s="43">
        <v>0</v>
      </c>
      <c r="P309" s="37"/>
      <c r="Q309" s="43">
        <v>0</v>
      </c>
      <c r="S309" s="146">
        <f ca="1" t="shared" si="26"/>
        <v>0</v>
      </c>
    </row>
    <row r="310" spans="2:19" ht="12.75">
      <c r="B310" s="76" t="s">
        <v>221</v>
      </c>
      <c r="G310" s="43">
        <v>0</v>
      </c>
      <c r="I310" s="43">
        <v>0</v>
      </c>
      <c r="J310" s="37"/>
      <c r="K310" s="37">
        <f>I310</f>
        <v>0</v>
      </c>
      <c r="L310" s="37"/>
      <c r="M310" s="39">
        <f>L288</f>
        <v>0</v>
      </c>
      <c r="N310" s="37"/>
      <c r="O310" s="39">
        <f>N288</f>
        <v>0</v>
      </c>
      <c r="P310" s="37"/>
      <c r="Q310" s="39">
        <f>P288</f>
        <v>0</v>
      </c>
      <c r="S310" s="146">
        <f ca="1" t="shared" si="26"/>
        <v>0</v>
      </c>
    </row>
    <row r="311" spans="2:19" ht="12.75">
      <c r="B311" s="76" t="s">
        <v>222</v>
      </c>
      <c r="G311" s="43">
        <v>0</v>
      </c>
      <c r="I311" s="39">
        <f>I112</f>
        <v>0</v>
      </c>
      <c r="J311" s="37"/>
      <c r="K311" s="39">
        <f>I311</f>
        <v>0</v>
      </c>
      <c r="L311" s="37"/>
      <c r="M311" s="39">
        <f>K311</f>
        <v>0</v>
      </c>
      <c r="N311" s="37"/>
      <c r="O311" s="39">
        <f>M311</f>
        <v>0</v>
      </c>
      <c r="P311" s="37"/>
      <c r="Q311" s="39">
        <f>O311</f>
        <v>0</v>
      </c>
      <c r="S311" s="146">
        <f ca="1" t="shared" si="26"/>
        <v>0</v>
      </c>
    </row>
    <row r="312" spans="2:19" ht="12.75">
      <c r="B312" s="76" t="s">
        <v>214</v>
      </c>
      <c r="G312" s="43">
        <v>0</v>
      </c>
      <c r="I312" s="39">
        <f>I304*$G326+I304*$G325+SUM($S$338:$S$342)</f>
        <v>8.5</v>
      </c>
      <c r="J312" s="37"/>
      <c r="K312" s="39">
        <f>K304*$G326+K304*$G325+SUM($S$338:$S$342)</f>
        <v>8.5</v>
      </c>
      <c r="L312" s="37"/>
      <c r="M312" s="39">
        <f>M304*$G326+M304*$G325+SUM($S$338:$S$342)</f>
        <v>15.818819657499999</v>
      </c>
      <c r="N312" s="37"/>
      <c r="O312" s="39">
        <f>O304*$G326+O304*$G325+SUM($S$338:$S$342)</f>
        <v>15.818819657499999</v>
      </c>
      <c r="P312" s="37"/>
      <c r="Q312" s="39">
        <f>Q304*$G326+Q304*$G325+SUM($S$338:$S$342)</f>
        <v>15.818819657499999</v>
      </c>
      <c r="S312" s="146">
        <f ca="1" t="shared" si="26"/>
        <v>15.818819657499999</v>
      </c>
    </row>
    <row r="313" spans="2:29" ht="12.75">
      <c r="B313" t="s">
        <v>88</v>
      </c>
      <c r="G313" s="38">
        <v>0</v>
      </c>
      <c r="I313" s="39">
        <f>$S$328+SUMPRODUCT(I289:I294,$G329:$G334)</f>
        <v>2.2908163265306123</v>
      </c>
      <c r="J313" s="37"/>
      <c r="K313" s="39">
        <f>$S$328+SUMPRODUCT(K289:K294,$G329:$G334)</f>
        <v>2.520408163265306</v>
      </c>
      <c r="L313" s="37"/>
      <c r="M313" s="39">
        <f>$S$328+SUMPRODUCT(M289:M294,$G329:$G334)</f>
        <v>6.4375</v>
      </c>
      <c r="N313" s="37"/>
      <c r="O313" s="39">
        <f>$S$328+SUMPRODUCT(O289:O294,$G329:$G334)</f>
        <v>5.3125</v>
      </c>
      <c r="P313" s="37"/>
      <c r="Q313" s="39">
        <f>$S$328+SUMPRODUCT(Q289:Q294,$G329:$G334)</f>
        <v>6.5</v>
      </c>
      <c r="S313" s="146">
        <f ca="1" t="shared" si="26"/>
        <v>6.4375</v>
      </c>
      <c r="Y313" s="149"/>
      <c r="AC313" s="149"/>
    </row>
    <row r="314" spans="2:19" ht="13.5" customHeight="1" thickBot="1">
      <c r="B314" s="76" t="s">
        <v>66</v>
      </c>
      <c r="G314" s="43">
        <v>0</v>
      </c>
      <c r="I314" s="37">
        <f>G314</f>
        <v>0</v>
      </c>
      <c r="J314" s="37"/>
      <c r="K314" s="37">
        <f>I314</f>
        <v>0</v>
      </c>
      <c r="L314" s="37"/>
      <c r="M314" s="37">
        <f>K314</f>
        <v>0</v>
      </c>
      <c r="N314" s="37"/>
      <c r="O314" s="37">
        <f>M314</f>
        <v>0</v>
      </c>
      <c r="P314" s="37"/>
      <c r="Q314" s="37">
        <f>O314</f>
        <v>0</v>
      </c>
      <c r="S314" s="146">
        <f ca="1" t="shared" si="26"/>
        <v>0</v>
      </c>
    </row>
    <row r="315" spans="3:19" ht="13.5" customHeight="1" thickBot="1">
      <c r="C315" s="10" t="s">
        <v>215</v>
      </c>
      <c r="G315" s="106">
        <f>SUM(G304:G314)</f>
        <v>0</v>
      </c>
      <c r="I315" s="106">
        <f>SUM(I304:I314)</f>
        <v>250.7908163265306</v>
      </c>
      <c r="K315" s="106">
        <f>SUM(K304:K314)</f>
        <v>256.0204081632653</v>
      </c>
      <c r="M315" s="106">
        <f>SUM(M304:M314)</f>
        <v>815.2424471574999</v>
      </c>
      <c r="O315" s="106">
        <f>SUM(O304:O314)</f>
        <v>814.1174471574999</v>
      </c>
      <c r="Q315" s="106">
        <f>SUM(Q304:Q314)</f>
        <v>815.3049471574999</v>
      </c>
      <c r="S315" s="106">
        <f>SUM(S304:S314)</f>
        <v>815.2424471574999</v>
      </c>
    </row>
    <row r="316" spans="7:19" ht="13.5" customHeight="1" thickTop="1">
      <c r="G316" s="47"/>
      <c r="I316" s="47"/>
      <c r="K316" s="47"/>
      <c r="M316" s="47"/>
      <c r="O316" s="47"/>
      <c r="Q316" s="47"/>
      <c r="S316" s="47"/>
    </row>
    <row r="317" spans="1:19" ht="12.75">
      <c r="A317" t="s">
        <v>216</v>
      </c>
      <c r="G317" s="150">
        <v>0</v>
      </c>
      <c r="H317" s="151"/>
      <c r="I317" s="150">
        <v>0</v>
      </c>
      <c r="J317" s="151"/>
      <c r="K317" s="150">
        <v>0</v>
      </c>
      <c r="L317" s="151"/>
      <c r="M317" s="150">
        <v>1</v>
      </c>
      <c r="N317" s="151"/>
      <c r="O317" s="152">
        <v>1</v>
      </c>
      <c r="P317" s="153"/>
      <c r="Q317" s="152">
        <v>1</v>
      </c>
      <c r="S317" s="154">
        <f ca="1">OFFSET(E317,0,$S$280*2)</f>
        <v>1</v>
      </c>
    </row>
    <row r="318" spans="1:38" s="19" customFormat="1" ht="12.75">
      <c r="A318" s="5"/>
      <c r="B318" s="5"/>
      <c r="C318" s="5"/>
      <c r="D318" s="5"/>
      <c r="F318" s="5"/>
      <c r="G318" s="5"/>
      <c r="H318" s="5"/>
      <c r="I318" s="5"/>
      <c r="J318" s="5"/>
      <c r="K318" s="5"/>
      <c r="L318" s="5"/>
      <c r="M318" s="5"/>
      <c r="N318" s="5"/>
      <c r="O318" s="5"/>
      <c r="P318" s="5"/>
      <c r="Q318" s="5"/>
      <c r="R318" s="5"/>
      <c r="S318" s="5"/>
      <c r="T318" s="5"/>
      <c r="U318" s="5"/>
      <c r="V318" s="5"/>
      <c r="W318" s="5"/>
      <c r="AB318" s="5"/>
      <c r="AC318" s="5"/>
      <c r="AD318" s="5"/>
      <c r="AE318" s="5"/>
      <c r="AF318" s="5"/>
      <c r="AG318" s="5"/>
      <c r="AH318" s="5"/>
      <c r="AI318" s="5"/>
      <c r="AJ318" s="5"/>
      <c r="AK318" s="5"/>
      <c r="AL318" s="5"/>
    </row>
    <row r="319" spans="1:38" ht="12.75">
      <c r="A319" s="19" t="s">
        <v>111</v>
      </c>
      <c r="B319" s="19"/>
      <c r="C319" s="19"/>
      <c r="D319" s="19"/>
      <c r="F319" s="19"/>
      <c r="G319" s="109">
        <f>G315-G301</f>
        <v>0</v>
      </c>
      <c r="H319" s="19"/>
      <c r="I319" s="109">
        <f>I315-I301</f>
        <v>0</v>
      </c>
      <c r="J319" s="19"/>
      <c r="K319" s="109">
        <f>K315-K301</f>
        <v>0</v>
      </c>
      <c r="L319" s="19"/>
      <c r="M319" s="109">
        <f>M315-M301</f>
        <v>0</v>
      </c>
      <c r="N319" s="19"/>
      <c r="O319" s="109">
        <f>O315-O301</f>
        <v>0</v>
      </c>
      <c r="P319" s="19"/>
      <c r="Q319" s="109">
        <f>Q315-Q301</f>
        <v>0</v>
      </c>
      <c r="R319" s="19"/>
      <c r="S319" s="109">
        <f>S315-S301</f>
        <v>0</v>
      </c>
      <c r="T319" s="19"/>
      <c r="U319" s="19"/>
      <c r="V319" s="19"/>
      <c r="W319" s="19"/>
      <c r="AB319" s="19"/>
      <c r="AC319" s="19"/>
      <c r="AD319" s="19"/>
      <c r="AE319" s="19"/>
      <c r="AF319" s="19"/>
      <c r="AG319" s="19"/>
      <c r="AH319" s="19"/>
      <c r="AI319" s="19"/>
      <c r="AJ319" s="19"/>
      <c r="AK319" s="19"/>
      <c r="AL319" s="19"/>
    </row>
    <row r="321" spans="1:35" ht="12.75">
      <c r="A321" s="4" t="s">
        <v>163</v>
      </c>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ht="12.75">
      <c r="A322" s="3" t="str">
        <f>$A$2</f>
        <v>($ in millions, except per share data)</v>
      </c>
    </row>
    <row r="323" spans="7:35" ht="13.5" customHeight="1" thickBot="1">
      <c r="G323" s="130" t="s">
        <v>164</v>
      </c>
      <c r="H323" s="131"/>
      <c r="I323" s="132" t="s">
        <v>165</v>
      </c>
      <c r="J323" s="132"/>
      <c r="K323" s="132"/>
      <c r="L323" s="132"/>
      <c r="M323" s="132"/>
      <c r="N323" s="132"/>
      <c r="O323" s="132"/>
      <c r="P323" s="132"/>
      <c r="Q323" s="132"/>
      <c r="R323" s="133"/>
      <c r="S323" s="82" t="s">
        <v>166</v>
      </c>
      <c r="U323" s="132" t="s">
        <v>167</v>
      </c>
      <c r="V323" s="132"/>
      <c r="W323" s="132"/>
      <c r="X323" s="132"/>
      <c r="Y323" s="132"/>
      <c r="Z323" s="132"/>
      <c r="AA323" s="132"/>
      <c r="AB323" s="132"/>
      <c r="AC323" s="132"/>
      <c r="AD323" s="132"/>
      <c r="AE323" s="132"/>
      <c r="AF323" s="132"/>
      <c r="AG323" s="132"/>
      <c r="AH323" s="132"/>
      <c r="AI323" s="132"/>
    </row>
    <row r="324" spans="1:39" ht="12.75">
      <c r="A324" s="83" t="s">
        <v>168</v>
      </c>
      <c r="AM324" s="10"/>
    </row>
    <row r="325" spans="2:21" ht="12.75">
      <c r="B325" t="s">
        <v>169</v>
      </c>
      <c r="G325" s="134">
        <v>0.0065</v>
      </c>
      <c r="I325" s="135" t="s">
        <v>191</v>
      </c>
      <c r="K325" s="134"/>
      <c r="M325" s="134"/>
      <c r="O325" s="134"/>
      <c r="Q325" s="19"/>
      <c r="U325" t="s">
        <v>170</v>
      </c>
    </row>
    <row r="326" spans="2:21" ht="12.75">
      <c r="B326" t="s">
        <v>171</v>
      </c>
      <c r="G326" s="134">
        <v>0.0065</v>
      </c>
      <c r="I326" s="135" t="s">
        <v>191</v>
      </c>
      <c r="K326" s="134"/>
      <c r="M326" s="134"/>
      <c r="O326" s="134"/>
      <c r="Q326" s="19"/>
      <c r="U326" t="s">
        <v>170</v>
      </c>
    </row>
    <row r="327" spans="1:17" ht="12.75">
      <c r="A327" s="83" t="s">
        <v>172</v>
      </c>
      <c r="G327" s="19"/>
      <c r="I327" s="19"/>
      <c r="K327" s="19"/>
      <c r="M327" s="19"/>
      <c r="O327" s="19"/>
      <c r="Q327" s="19"/>
    </row>
    <row r="328" spans="2:21" ht="12.75">
      <c r="B328" t="s">
        <v>182</v>
      </c>
      <c r="G328" s="134">
        <v>0.0175</v>
      </c>
      <c r="I328" s="135" t="s">
        <v>173</v>
      </c>
      <c r="K328" s="134"/>
      <c r="M328" s="134"/>
      <c r="O328" s="134"/>
      <c r="Q328" s="136">
        <f>revolver</f>
        <v>100</v>
      </c>
      <c r="S328" s="136">
        <f>G328*Q328</f>
        <v>1.7500000000000002</v>
      </c>
      <c r="U328" t="s">
        <v>174</v>
      </c>
    </row>
    <row r="329" spans="2:30" ht="12.75">
      <c r="B329" t="s">
        <v>183</v>
      </c>
      <c r="G329" s="134">
        <v>0.02</v>
      </c>
      <c r="I329" s="135" t="s">
        <v>175</v>
      </c>
      <c r="K329" s="134"/>
      <c r="M329" s="134"/>
      <c r="O329" s="134"/>
      <c r="Q329" s="37">
        <f>S289</f>
        <v>150</v>
      </c>
      <c r="S329" s="37">
        <f>G329*Q329</f>
        <v>3</v>
      </c>
      <c r="U329" t="s">
        <v>174</v>
      </c>
      <c r="AD329" s="137"/>
    </row>
    <row r="330" spans="2:30" ht="12.75">
      <c r="B330" t="s">
        <v>184</v>
      </c>
      <c r="G330" s="134">
        <v>0.0175</v>
      </c>
      <c r="I330" s="135" t="s">
        <v>175</v>
      </c>
      <c r="K330" s="134"/>
      <c r="M330" s="134"/>
      <c r="O330" s="134"/>
      <c r="Q330" s="37">
        <f aca="true" t="shared" si="27" ref="Q330:Q336">S290</f>
        <v>0</v>
      </c>
      <c r="S330" s="37">
        <f aca="true" t="shared" si="28" ref="S330:S336">G330*Q330</f>
        <v>0</v>
      </c>
      <c r="U330" t="s">
        <v>174</v>
      </c>
      <c r="AD330" s="137"/>
    </row>
    <row r="331" spans="2:30" ht="12.75">
      <c r="B331" t="s">
        <v>185</v>
      </c>
      <c r="G331" s="134">
        <v>0.0225</v>
      </c>
      <c r="I331" s="135" t="s">
        <v>175</v>
      </c>
      <c r="K331" s="134"/>
      <c r="M331" s="134"/>
      <c r="O331" s="134"/>
      <c r="Q331" s="37">
        <f t="shared" si="27"/>
        <v>75</v>
      </c>
      <c r="S331" s="37">
        <f t="shared" si="28"/>
        <v>1.6875</v>
      </c>
      <c r="U331" t="s">
        <v>174</v>
      </c>
      <c r="AD331" s="137"/>
    </row>
    <row r="332" spans="2:21" ht="12.75">
      <c r="B332" t="s">
        <v>186</v>
      </c>
      <c r="G332" s="134">
        <v>0.03</v>
      </c>
      <c r="I332" s="135" t="s">
        <v>175</v>
      </c>
      <c r="K332" s="134"/>
      <c r="M332" s="134"/>
      <c r="O332" s="134"/>
      <c r="Q332" s="37">
        <f t="shared" si="27"/>
        <v>0</v>
      </c>
      <c r="S332" s="37">
        <f t="shared" si="28"/>
        <v>0</v>
      </c>
      <c r="U332" t="s">
        <v>174</v>
      </c>
    </row>
    <row r="333" spans="2:21" ht="12.75">
      <c r="B333" t="s">
        <v>187</v>
      </c>
      <c r="G333" s="134">
        <v>0</v>
      </c>
      <c r="I333" s="135" t="s">
        <v>175</v>
      </c>
      <c r="K333" s="134"/>
      <c r="M333" s="134"/>
      <c r="O333" s="134"/>
      <c r="Q333" s="37">
        <f t="shared" si="27"/>
        <v>0</v>
      </c>
      <c r="S333" s="37">
        <f t="shared" si="28"/>
        <v>0</v>
      </c>
      <c r="U333" t="s">
        <v>174</v>
      </c>
    </row>
    <row r="334" spans="2:21" ht="12.75">
      <c r="B334" t="s">
        <v>188</v>
      </c>
      <c r="G334" s="134">
        <v>0</v>
      </c>
      <c r="I334" s="135" t="s">
        <v>175</v>
      </c>
      <c r="K334" s="134"/>
      <c r="M334" s="134"/>
      <c r="O334" s="134"/>
      <c r="Q334" s="37">
        <f t="shared" si="27"/>
        <v>0</v>
      </c>
      <c r="S334" s="37">
        <f t="shared" si="28"/>
        <v>0</v>
      </c>
      <c r="U334" t="s">
        <v>174</v>
      </c>
    </row>
    <row r="335" spans="2:21" ht="12.75">
      <c r="B335" t="s">
        <v>189</v>
      </c>
      <c r="G335" s="134">
        <v>0</v>
      </c>
      <c r="I335" s="135" t="s">
        <v>175</v>
      </c>
      <c r="K335" s="134"/>
      <c r="M335" s="134"/>
      <c r="O335" s="134"/>
      <c r="Q335" s="37">
        <f t="shared" si="27"/>
        <v>10</v>
      </c>
      <c r="S335" s="37">
        <f t="shared" si="28"/>
        <v>0</v>
      </c>
      <c r="U335" t="s">
        <v>176</v>
      </c>
    </row>
    <row r="336" spans="2:21" ht="12.75">
      <c r="B336" t="s">
        <v>190</v>
      </c>
      <c r="G336" s="134">
        <v>0</v>
      </c>
      <c r="I336" s="135" t="s">
        <v>175</v>
      </c>
      <c r="K336" s="134"/>
      <c r="M336" s="134"/>
      <c r="O336" s="134"/>
      <c r="Q336" s="37">
        <f t="shared" si="27"/>
        <v>0</v>
      </c>
      <c r="S336" s="37">
        <f t="shared" si="28"/>
        <v>0</v>
      </c>
      <c r="U336" t="s">
        <v>176</v>
      </c>
    </row>
    <row r="337" ht="12.75">
      <c r="A337" s="83" t="s">
        <v>177</v>
      </c>
    </row>
    <row r="338" spans="2:21" ht="12.75">
      <c r="B338" t="s">
        <v>178</v>
      </c>
      <c r="G338" s="77"/>
      <c r="I338" s="77"/>
      <c r="K338" s="77"/>
      <c r="M338" s="77"/>
      <c r="O338" s="77"/>
      <c r="Q338" s="77"/>
      <c r="S338" s="77">
        <v>3</v>
      </c>
      <c r="U338" t="s">
        <v>170</v>
      </c>
    </row>
    <row r="339" spans="2:21" ht="12.75">
      <c r="B339" t="s">
        <v>179</v>
      </c>
      <c r="G339" s="38"/>
      <c r="I339" s="38"/>
      <c r="K339" s="38"/>
      <c r="M339" s="38"/>
      <c r="O339" s="38"/>
      <c r="Q339" s="38"/>
      <c r="S339" s="38">
        <v>2.5</v>
      </c>
      <c r="U339" t="s">
        <v>170</v>
      </c>
    </row>
    <row r="340" spans="2:21" ht="12.75">
      <c r="B340" t="s">
        <v>180</v>
      </c>
      <c r="G340" s="38"/>
      <c r="I340" s="38"/>
      <c r="K340" s="38"/>
      <c r="M340" s="38"/>
      <c r="O340" s="38"/>
      <c r="Q340" s="38"/>
      <c r="S340" s="38">
        <v>1</v>
      </c>
      <c r="U340" t="s">
        <v>170</v>
      </c>
    </row>
    <row r="341" spans="2:21" ht="12.75">
      <c r="B341" t="s">
        <v>66</v>
      </c>
      <c r="G341" s="38"/>
      <c r="I341" s="38"/>
      <c r="K341" s="38"/>
      <c r="M341" s="38"/>
      <c r="O341" s="117"/>
      <c r="Q341" s="38"/>
      <c r="S341" s="38">
        <v>2</v>
      </c>
      <c r="U341" t="s">
        <v>170</v>
      </c>
    </row>
    <row r="342" spans="2:21" ht="12.75">
      <c r="B342" t="s">
        <v>181</v>
      </c>
      <c r="G342" s="38"/>
      <c r="I342" s="38"/>
      <c r="K342" s="38"/>
      <c r="M342" s="38"/>
      <c r="O342" s="38"/>
      <c r="Q342" s="38"/>
      <c r="S342" s="38">
        <v>0</v>
      </c>
      <c r="U342" t="s">
        <v>170</v>
      </c>
    </row>
    <row r="344" spans="1:35" ht="13.5" thickBot="1">
      <c r="A344" s="83" t="s">
        <v>259</v>
      </c>
      <c r="O344" s="22" t="str">
        <f>O$46</f>
        <v>2 Mos.</v>
      </c>
      <c r="Q344" s="20" t="str">
        <f>Q$245</f>
        <v>Projected Fiscal Years Ending September 30,</v>
      </c>
      <c r="R344" s="20"/>
      <c r="S344" s="20"/>
      <c r="T344" s="20"/>
      <c r="U344" s="20"/>
      <c r="V344" s="20"/>
      <c r="W344" s="20"/>
      <c r="X344" s="20"/>
      <c r="Y344" s="20"/>
      <c r="Z344" s="20"/>
      <c r="AA344" s="20"/>
      <c r="AB344" s="20"/>
      <c r="AC344" s="20"/>
      <c r="AD344" s="20"/>
      <c r="AE344" s="20"/>
      <c r="AF344" s="20"/>
      <c r="AG344" s="20"/>
      <c r="AH344" s="20"/>
      <c r="AI344" s="20"/>
    </row>
    <row r="345" spans="9:35" ht="12.75">
      <c r="I345" s="171" t="s">
        <v>252</v>
      </c>
      <c r="K345" s="171" t="s">
        <v>256</v>
      </c>
      <c r="O345" s="22" t="str">
        <f>O$47</f>
        <v>Ending</v>
      </c>
      <c r="Q345" s="81">
        <f>Q$246</f>
        <v>1</v>
      </c>
      <c r="S345" s="81">
        <f>S$246</f>
        <v>2</v>
      </c>
      <c r="U345" s="81">
        <f>U$246</f>
        <v>3</v>
      </c>
      <c r="W345" s="81">
        <f>W$246</f>
        <v>4</v>
      </c>
      <c r="Y345" s="81">
        <f>Y$246</f>
        <v>5</v>
      </c>
      <c r="AA345" s="81">
        <f>AA$246</f>
        <v>6</v>
      </c>
      <c r="AC345" s="81">
        <f>AC$246</f>
        <v>7</v>
      </c>
      <c r="AE345" s="81">
        <f>AE$246</f>
        <v>8</v>
      </c>
      <c r="AG345" s="81">
        <f>AG$246</f>
        <v>9</v>
      </c>
      <c r="AI345" s="81">
        <f>AI$246</f>
        <v>10</v>
      </c>
    </row>
    <row r="346" spans="9:35" ht="13.5" thickBot="1">
      <c r="I346" s="82" t="s">
        <v>257</v>
      </c>
      <c r="K346" s="82" t="s">
        <v>258</v>
      </c>
      <c r="O346" s="97" t="str">
        <f>O$48</f>
        <v>9/30/2008</v>
      </c>
      <c r="Q346" s="82">
        <f>Q$247</f>
        <v>2008</v>
      </c>
      <c r="S346" s="82">
        <f>S$247</f>
        <v>2009</v>
      </c>
      <c r="U346" s="82">
        <f>U$247</f>
        <v>2010</v>
      </c>
      <c r="W346" s="82">
        <f>W$247</f>
        <v>2011</v>
      </c>
      <c r="Y346" s="82">
        <f>Y$247</f>
        <v>2012</v>
      </c>
      <c r="AA346" s="82">
        <f>AA$247</f>
        <v>2013</v>
      </c>
      <c r="AC346" s="82">
        <f>AC$247</f>
        <v>2014</v>
      </c>
      <c r="AE346" s="82">
        <f>AE$247</f>
        <v>2015</v>
      </c>
      <c r="AG346" s="82">
        <f>AG$247</f>
        <v>2016</v>
      </c>
      <c r="AI346" s="82">
        <f>AI$247</f>
        <v>2017</v>
      </c>
    </row>
    <row r="347" spans="9:35" ht="4.5" customHeight="1">
      <c r="I347" s="173"/>
      <c r="K347" s="173"/>
      <c r="O347" s="174"/>
      <c r="Q347" s="173"/>
      <c r="S347" s="173"/>
      <c r="U347" s="173"/>
      <c r="W347" s="173"/>
      <c r="Y347" s="173"/>
      <c r="AA347" s="173"/>
      <c r="AC347" s="173"/>
      <c r="AE347" s="173"/>
      <c r="AG347" s="173"/>
      <c r="AI347" s="173"/>
    </row>
    <row r="348" spans="2:35" ht="12.75">
      <c r="B348" t="str">
        <f>B328</f>
        <v>Revolver</v>
      </c>
      <c r="I348" s="38">
        <v>5</v>
      </c>
      <c r="K348" s="76">
        <f aca="true" t="shared" si="29" ref="K348:K354">IF(ISERROR(S328/I348),0,S328/I348)</f>
        <v>0.35000000000000003</v>
      </c>
      <c r="O348" s="76">
        <f aca="true" t="shared" si="30" ref="O348:O354">stub*K348</f>
        <v>0.058333333333333334</v>
      </c>
      <c r="Q348" s="76">
        <f aca="true" t="shared" si="31" ref="Q348:Q354">O348</f>
        <v>0.058333333333333334</v>
      </c>
      <c r="S348" s="76">
        <f>MAX(0,MIN($K348,$S328-SUM($Q348:Q348)))</f>
        <v>0.35000000000000003</v>
      </c>
      <c r="U348" s="76">
        <f>MAX(0,MIN($K348,$S328-SUM($Q348:S348)))</f>
        <v>0.35000000000000003</v>
      </c>
      <c r="W348" s="76">
        <f>MAX(0,MIN($K348,$S328-SUM($Q348:U348)))</f>
        <v>0.35000000000000003</v>
      </c>
      <c r="Y348" s="76">
        <f>MAX(0,MIN($K348,$S328-SUM($Q348:W348)))</f>
        <v>0.35000000000000003</v>
      </c>
      <c r="AA348" s="76">
        <f>MAX(0,MIN($K348,$S328-SUM($Q348:Y348)))</f>
        <v>0.29166666666666674</v>
      </c>
      <c r="AC348" s="76">
        <f>MAX(0,MIN($K348,$S328-SUM($Q348:AA348)))</f>
        <v>0</v>
      </c>
      <c r="AE348" s="76">
        <f>MAX(0,MIN($K348,$S328-SUM($Q348:AC348)))</f>
        <v>0</v>
      </c>
      <c r="AG348" s="76">
        <f>MAX(0,MIN($K348,$S328-SUM($Q348:AE348)))</f>
        <v>0</v>
      </c>
      <c r="AI348" s="76">
        <f>MAX(0,MIN($K348,$S328-SUM($Q348:AG348)))</f>
        <v>0</v>
      </c>
    </row>
    <row r="349" spans="2:35" ht="12.75">
      <c r="B349" t="str">
        <f aca="true" t="shared" si="32" ref="B349:B354">B329</f>
        <v>Term Loan - A</v>
      </c>
      <c r="I349" s="37">
        <f aca="true" t="shared" si="33" ref="I349:I354">K153</f>
        <v>5</v>
      </c>
      <c r="K349" s="172">
        <f t="shared" si="29"/>
        <v>0.6</v>
      </c>
      <c r="O349" s="172">
        <f t="shared" si="30"/>
        <v>0.09999999999999999</v>
      </c>
      <c r="Q349" s="37">
        <f t="shared" si="31"/>
        <v>0.09999999999999999</v>
      </c>
      <c r="S349" s="37">
        <f>MAX(0,MIN($K349,$S329-SUM($Q349:Q349)))</f>
        <v>0.6</v>
      </c>
      <c r="U349" s="37">
        <f>MAX(0,MIN($K349,$S329-SUM($Q349:S349)))</f>
        <v>0.6</v>
      </c>
      <c r="W349" s="37">
        <f>MAX(0,MIN($K349,$S329-SUM($Q349:U349)))</f>
        <v>0.6</v>
      </c>
      <c r="Y349" s="37">
        <f>MAX(0,MIN($K349,$S329-SUM($Q349:W349)))</f>
        <v>0.6</v>
      </c>
      <c r="AA349" s="37">
        <f>MAX(0,MIN($K349,$S329-SUM($Q349:Y349)))</f>
        <v>0.5</v>
      </c>
      <c r="AC349" s="37">
        <f>MAX(0,MIN($K349,$S329-SUM($Q349:AA349)))</f>
        <v>0</v>
      </c>
      <c r="AE349" s="37">
        <f>MAX(0,MIN($K349,$S329-SUM($Q349:AC349)))</f>
        <v>0</v>
      </c>
      <c r="AG349" s="37">
        <f>MAX(0,MIN($K349,$S329-SUM($Q349:AE349)))</f>
        <v>0</v>
      </c>
      <c r="AI349" s="37">
        <f>MAX(0,MIN($K349,$S329-SUM($Q349:AG349)))</f>
        <v>0</v>
      </c>
    </row>
    <row r="350" spans="2:35" ht="12.75">
      <c r="B350" t="str">
        <f t="shared" si="32"/>
        <v>Term Loan - B</v>
      </c>
      <c r="I350" s="37">
        <f t="shared" si="33"/>
        <v>6</v>
      </c>
      <c r="K350" s="172">
        <f t="shared" si="29"/>
        <v>0</v>
      </c>
      <c r="O350" s="172">
        <f t="shared" si="30"/>
        <v>0</v>
      </c>
      <c r="Q350" s="37">
        <f t="shared" si="31"/>
        <v>0</v>
      </c>
      <c r="S350" s="37">
        <f>MAX(0,MIN($K350,$S330-SUM($Q350:Q350)))</f>
        <v>0</v>
      </c>
      <c r="U350" s="37">
        <f>MAX(0,MIN($K350,$S330-SUM($Q350:S350)))</f>
        <v>0</v>
      </c>
      <c r="W350" s="37">
        <f>MAX(0,MIN($K350,$S330-SUM($Q350:U350)))</f>
        <v>0</v>
      </c>
      <c r="Y350" s="37">
        <f>MAX(0,MIN($K350,$S330-SUM($Q350:W350)))</f>
        <v>0</v>
      </c>
      <c r="AA350" s="37">
        <f>MAX(0,MIN($K350,$S330-SUM($Q350:Y350)))</f>
        <v>0</v>
      </c>
      <c r="AC350" s="37">
        <f>MAX(0,MIN($K350,$S330-SUM($Q350:AA350)))</f>
        <v>0</v>
      </c>
      <c r="AE350" s="37">
        <f>MAX(0,MIN($K350,$S330-SUM($Q350:AC350)))</f>
        <v>0</v>
      </c>
      <c r="AG350" s="37">
        <f>MAX(0,MIN($K350,$S330-SUM($Q350:AE350)))</f>
        <v>0</v>
      </c>
      <c r="AI350" s="37">
        <f>MAX(0,MIN($K350,$S330-SUM($Q350:AG350)))</f>
        <v>0</v>
      </c>
    </row>
    <row r="351" spans="2:35" ht="12.75">
      <c r="B351" t="str">
        <f t="shared" si="32"/>
        <v>Senior Note</v>
      </c>
      <c r="I351" s="37">
        <f t="shared" si="33"/>
        <v>4</v>
      </c>
      <c r="K351" s="172">
        <f t="shared" si="29"/>
        <v>0.421875</v>
      </c>
      <c r="O351" s="172">
        <f t="shared" si="30"/>
        <v>0.0703125</v>
      </c>
      <c r="Q351" s="37">
        <f t="shared" si="31"/>
        <v>0.0703125</v>
      </c>
      <c r="S351" s="37">
        <f>MAX(0,MIN($K351,$S331-SUM($Q351:Q351)))</f>
        <v>0.421875</v>
      </c>
      <c r="U351" s="37">
        <f>MAX(0,MIN($K351,$S331-SUM($Q351:S351)))</f>
        <v>0.421875</v>
      </c>
      <c r="W351" s="37">
        <f>MAX(0,MIN($K351,$S331-SUM($Q351:U351)))</f>
        <v>0.421875</v>
      </c>
      <c r="Y351" s="37">
        <f>MAX(0,MIN($K351,$S331-SUM($Q351:W351)))</f>
        <v>0.3515625</v>
      </c>
      <c r="AA351" s="37">
        <f>MAX(0,MIN($K351,$S331-SUM($Q351:Y351)))</f>
        <v>0</v>
      </c>
      <c r="AC351" s="37">
        <f>MAX(0,MIN($K351,$S331-SUM($Q351:AA351)))</f>
        <v>0</v>
      </c>
      <c r="AE351" s="37">
        <f>MAX(0,MIN($K351,$S331-SUM($Q351:AC351)))</f>
        <v>0</v>
      </c>
      <c r="AG351" s="37">
        <f>MAX(0,MIN($K351,$S331-SUM($Q351:AE351)))</f>
        <v>0</v>
      </c>
      <c r="AI351" s="37">
        <f>MAX(0,MIN($K351,$S331-SUM($Q351:AG351)))</f>
        <v>0</v>
      </c>
    </row>
    <row r="352" spans="2:35" ht="12.75">
      <c r="B352" t="str">
        <f t="shared" si="32"/>
        <v>Subordinated Note</v>
      </c>
      <c r="I352" s="37">
        <f t="shared" si="33"/>
        <v>4</v>
      </c>
      <c r="K352" s="172">
        <f t="shared" si="29"/>
        <v>0</v>
      </c>
      <c r="O352" s="172">
        <f t="shared" si="30"/>
        <v>0</v>
      </c>
      <c r="Q352" s="37">
        <f t="shared" si="31"/>
        <v>0</v>
      </c>
      <c r="S352" s="37">
        <f>MAX(0,MIN($K352,$S332-SUM($Q352:Q352)))</f>
        <v>0</v>
      </c>
      <c r="U352" s="37">
        <f>MAX(0,MIN($K352,$S332-SUM($Q352:S352)))</f>
        <v>0</v>
      </c>
      <c r="W352" s="37">
        <f>MAX(0,MIN($K352,$S332-SUM($Q352:U352)))</f>
        <v>0</v>
      </c>
      <c r="Y352" s="37">
        <f>MAX(0,MIN($K352,$S332-SUM($Q352:W352)))</f>
        <v>0</v>
      </c>
      <c r="AA352" s="37">
        <f>MAX(0,MIN($K352,$S332-SUM($Q352:Y352)))</f>
        <v>0</v>
      </c>
      <c r="AC352" s="37">
        <f>MAX(0,MIN($K352,$S332-SUM($Q352:AA352)))</f>
        <v>0</v>
      </c>
      <c r="AE352" s="37">
        <f>MAX(0,MIN($K352,$S332-SUM($Q352:AC352)))</f>
        <v>0</v>
      </c>
      <c r="AG352" s="37">
        <f>MAX(0,MIN($K352,$S332-SUM($Q352:AE352)))</f>
        <v>0</v>
      </c>
      <c r="AI352" s="37">
        <f>MAX(0,MIN($K352,$S332-SUM($Q352:AG352)))</f>
        <v>0</v>
      </c>
    </row>
    <row r="353" spans="2:35" ht="12.75">
      <c r="B353" t="str">
        <f t="shared" si="32"/>
        <v>Mezzanine</v>
      </c>
      <c r="I353" s="37">
        <f t="shared" si="33"/>
        <v>0</v>
      </c>
      <c r="K353" s="172">
        <f t="shared" si="29"/>
        <v>0</v>
      </c>
      <c r="O353" s="172">
        <f t="shared" si="30"/>
        <v>0</v>
      </c>
      <c r="Q353" s="37">
        <f t="shared" si="31"/>
        <v>0</v>
      </c>
      <c r="S353" s="37">
        <f>MAX(0,MIN($K353,$S333-SUM($Q353:Q353)))</f>
        <v>0</v>
      </c>
      <c r="U353" s="37">
        <f>MAX(0,MIN($K353,$S333-SUM($Q353:S353)))</f>
        <v>0</v>
      </c>
      <c r="W353" s="37">
        <f>MAX(0,MIN($K353,$S333-SUM($Q353:U353)))</f>
        <v>0</v>
      </c>
      <c r="Y353" s="37">
        <f>MAX(0,MIN($K353,$S333-SUM($Q353:W353)))</f>
        <v>0</v>
      </c>
      <c r="AA353" s="37">
        <f>MAX(0,MIN($K353,$S333-SUM($Q353:Y353)))</f>
        <v>0</v>
      </c>
      <c r="AC353" s="37">
        <f>MAX(0,MIN($K353,$S333-SUM($Q353:AA353)))</f>
        <v>0</v>
      </c>
      <c r="AE353" s="37">
        <f>MAX(0,MIN($K353,$S333-SUM($Q353:AC353)))</f>
        <v>0</v>
      </c>
      <c r="AG353" s="37">
        <f>MAX(0,MIN($K353,$S333-SUM($Q353:AE353)))</f>
        <v>0</v>
      </c>
      <c r="AI353" s="37">
        <f>MAX(0,MIN($K353,$S333-SUM($Q353:AG353)))</f>
        <v>0</v>
      </c>
    </row>
    <row r="354" spans="2:35" ht="13.5" thickBot="1">
      <c r="B354" t="str">
        <f t="shared" si="32"/>
        <v>Seller Note</v>
      </c>
      <c r="I354" s="37">
        <f t="shared" si="33"/>
        <v>8</v>
      </c>
      <c r="K354" s="172">
        <f t="shared" si="29"/>
        <v>0</v>
      </c>
      <c r="O354" s="172">
        <f t="shared" si="30"/>
        <v>0</v>
      </c>
      <c r="Q354" s="37">
        <f t="shared" si="31"/>
        <v>0</v>
      </c>
      <c r="S354" s="37">
        <f>MAX(0,MIN($K354,$S334-SUM($Q354:Q354)))</f>
        <v>0</v>
      </c>
      <c r="U354" s="37">
        <f>MAX(0,MIN($K354,$S334-SUM($Q354:S354)))</f>
        <v>0</v>
      </c>
      <c r="W354" s="37">
        <f>MAX(0,MIN($K354,$S334-SUM($Q354:U354)))</f>
        <v>0</v>
      </c>
      <c r="Y354" s="37">
        <f>MAX(0,MIN($K354,$S334-SUM($Q354:W354)))</f>
        <v>0</v>
      </c>
      <c r="AA354" s="37">
        <f>MAX(0,MIN($K354,$S334-SUM($Q354:Y354)))</f>
        <v>0</v>
      </c>
      <c r="AC354" s="37">
        <f>MAX(0,MIN($K354,$S334-SUM($Q354:AA354)))</f>
        <v>0</v>
      </c>
      <c r="AE354" s="37">
        <f>MAX(0,MIN($K354,$S334-SUM($Q354:AC354)))</f>
        <v>0</v>
      </c>
      <c r="AG354" s="37">
        <f>MAX(0,MIN($K354,$S334-SUM($Q354:AE354)))</f>
        <v>0</v>
      </c>
      <c r="AI354" s="37">
        <f>MAX(0,MIN($K354,$S334-SUM($Q354:AG354)))</f>
        <v>0</v>
      </c>
    </row>
    <row r="355" spans="3:35" ht="13.5" thickBot="1">
      <c r="C355" s="10" t="s">
        <v>260</v>
      </c>
      <c r="O355" s="106">
        <f>SUM(O348:O354)</f>
        <v>0.22864583333333333</v>
      </c>
      <c r="Q355" s="106">
        <f>SUM(Q348:Q354)</f>
        <v>0.22864583333333333</v>
      </c>
      <c r="S355" s="106">
        <f>SUM(S348:S354)</f>
        <v>1.371875</v>
      </c>
      <c r="U355" s="106">
        <f>SUM(U348:U354)</f>
        <v>1.371875</v>
      </c>
      <c r="W355" s="106">
        <f>SUM(W348:W354)</f>
        <v>1.371875</v>
      </c>
      <c r="Y355" s="106">
        <f>SUM(Y348:Y354)</f>
        <v>1.3015625</v>
      </c>
      <c r="AA355" s="106">
        <f>SUM(AA348:AA354)</f>
        <v>0.7916666666666667</v>
      </c>
      <c r="AC355" s="106">
        <f>SUM(AC348:AC354)</f>
        <v>0</v>
      </c>
      <c r="AE355" s="106">
        <f>SUM(AE348:AE354)</f>
        <v>0</v>
      </c>
      <c r="AG355" s="106">
        <f>SUM(AG348:AG354)</f>
        <v>0</v>
      </c>
      <c r="AI355" s="106">
        <f>SUM(AI348:AI354)</f>
        <v>0</v>
      </c>
    </row>
    <row r="356" ht="13.5" thickTop="1"/>
  </sheetData>
  <conditionalFormatting sqref="G317:Q317 M157 Q33 Q29">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6">
    <dataValidation type="whole" operator="equal" showInputMessage="1" showErrorMessage="1" errorTitle="Validation Error" error="Goodwill is not amortized under GAAP accounting." sqref="K234">
      <formula1>0</formula1>
    </dataValidation>
    <dataValidation type="decimal" operator="equal" allowBlank="1" showInputMessage="1" showErrorMessage="1" sqref="G156:G158">
      <formula1>0</formula1>
    </dataValidation>
    <dataValidation type="whole" showInputMessage="1" showErrorMessage="1" errorTitle="Validation Error" error="Enter either 0 or 1." sqref="I152:I158">
      <formula1>0</formula1>
      <formula2>1</formula2>
    </dataValidation>
    <dataValidation type="whole" showInputMessage="1" showErrorMessage="1" errorTitle="Validation Error" error="Enter either a 0 or 1." sqref="Q33 Q29">
      <formula1>0</formula1>
      <formula2>1</formula2>
    </dataValidation>
    <dataValidation type="whole" operator="greaterThanOrEqual" showInputMessage="1" showErrorMessage="1" sqref="Y27">
      <formula1>1</formula1>
    </dataValidation>
    <dataValidation type="whole" allowBlank="1" showInputMessage="1" showErrorMessage="1" errorTitle="Validation Error" error="You must input either a 0 or 1." sqref="B214">
      <formula1>0</formula1>
      <formula2>1</formula2>
    </dataValidation>
  </dataValidations>
  <printOptions/>
  <pageMargins left="0.75" right="0.75" top="1" bottom="1" header="0.5" footer="0.5"/>
  <pageSetup horizontalDpi="300" verticalDpi="300" orientation="portrait" paperSize="119" r:id="rId3"/>
  <legacyDrawing r:id="rId2"/>
</worksheet>
</file>

<file path=xl/worksheets/sheet2.xml><?xml version="1.0" encoding="utf-8"?>
<worksheet xmlns="http://schemas.openxmlformats.org/spreadsheetml/2006/main" xmlns:r="http://schemas.openxmlformats.org/officeDocument/2006/relationships">
  <dimension ref="A1:X66"/>
  <sheetViews>
    <sheetView showGridLines="0" zoomScale="80" zoomScaleNormal="80" workbookViewId="0" topLeftCell="A1">
      <selection activeCell="A1" sqref="A1"/>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18"/>
      <c r="C1" s="2"/>
      <c r="D1" s="2"/>
      <c r="E1" s="2"/>
      <c r="F1" s="2"/>
      <c r="G1" s="2"/>
      <c r="H1" s="2"/>
      <c r="I1" s="2"/>
      <c r="J1" s="2"/>
      <c r="K1" s="2"/>
      <c r="L1" s="2"/>
      <c r="M1" s="2"/>
      <c r="N1" s="2"/>
      <c r="O1" s="2"/>
      <c r="P1" s="2"/>
      <c r="Q1" s="2"/>
      <c r="R1" s="2"/>
      <c r="S1" s="2"/>
      <c r="T1" s="2"/>
      <c r="U1" s="2"/>
      <c r="V1" s="2"/>
      <c r="W1" s="2"/>
      <c r="X1" s="2"/>
    </row>
    <row r="2" spans="1:2" ht="12.75">
      <c r="A2" s="3" t="s">
        <v>0</v>
      </c>
      <c r="B2" s="19"/>
    </row>
    <row r="4" spans="7:24" ht="13.5" customHeight="1" thickBot="1">
      <c r="G4" s="20" t="str">
        <f>"FY Ended "&amp;TEXT(fye,"mmmm d")&amp;","</f>
        <v>FY Ended September 30,</v>
      </c>
      <c r="H4" s="20"/>
      <c r="I4" s="20"/>
      <c r="J4" s="20"/>
      <c r="K4" s="20"/>
      <c r="M4" s="20" t="str">
        <f>"FY Ending "&amp;TEXT(fye,"mmmm d")&amp;","</f>
        <v>FY Ending September 30,</v>
      </c>
      <c r="N4" s="21"/>
      <c r="O4" s="21"/>
      <c r="P4" s="21"/>
      <c r="Q4" s="21"/>
      <c r="R4" s="21"/>
      <c r="S4" s="21"/>
      <c r="T4" s="21"/>
      <c r="U4" s="21"/>
      <c r="X4" s="22" t="s">
        <v>21</v>
      </c>
    </row>
    <row r="5" spans="7:24" ht="13.5" customHeight="1" thickBot="1">
      <c r="G5" s="23">
        <f>I5-1</f>
        <v>2005</v>
      </c>
      <c r="H5" s="24"/>
      <c r="I5" s="23">
        <f>K5-1</f>
        <v>2006</v>
      </c>
      <c r="K5" s="25">
        <v>2007</v>
      </c>
      <c r="M5" s="26">
        <f>K5+1</f>
        <v>2008</v>
      </c>
      <c r="O5" s="26">
        <f>M5+1</f>
        <v>2009</v>
      </c>
      <c r="Q5" s="26">
        <f>O5+1</f>
        <v>2010</v>
      </c>
      <c r="R5" s="27"/>
      <c r="S5" s="28">
        <f>Q5+1</f>
        <v>2011</v>
      </c>
      <c r="U5" s="28">
        <f>S5+1</f>
        <v>2012</v>
      </c>
      <c r="X5" s="29" t="str">
        <f>M5&amp;"-"&amp;U5</f>
        <v>2008-2012</v>
      </c>
    </row>
    <row r="6" ht="4.5" customHeight="1"/>
    <row r="7" spans="2:24" s="30" customFormat="1" ht="12.75">
      <c r="B7" s="30" t="s">
        <v>22</v>
      </c>
      <c r="G7" s="31">
        <v>370.8</v>
      </c>
      <c r="I7" s="31">
        <v>380.8</v>
      </c>
      <c r="K7" s="31">
        <v>402.5</v>
      </c>
      <c r="M7" s="31">
        <v>458.1</v>
      </c>
      <c r="O7" s="31">
        <v>468</v>
      </c>
      <c r="Q7" s="31">
        <v>470.5</v>
      </c>
      <c r="S7" s="32">
        <f>Q7*(1+S8)</f>
        <v>475.205</v>
      </c>
      <c r="U7" s="32">
        <f>S7*(1+U8)</f>
        <v>479.95705</v>
      </c>
      <c r="X7" s="33">
        <f>(U7/M7)^(1/(U$5-$M$5))-1</f>
        <v>0.011720432226423716</v>
      </c>
    </row>
    <row r="8" spans="3:24" s="19" customFormat="1" ht="12.75" customHeight="1">
      <c r="C8" s="19" t="s">
        <v>23</v>
      </c>
      <c r="G8" s="34" t="s">
        <v>24</v>
      </c>
      <c r="I8" s="33">
        <f>I7/G7-1</f>
        <v>0.026968716289104577</v>
      </c>
      <c r="K8" s="33">
        <f>K7/I7-1</f>
        <v>0.05698529411764697</v>
      </c>
      <c r="M8" s="33">
        <f>M7/K7-1</f>
        <v>0.1381366459627329</v>
      </c>
      <c r="O8" s="33">
        <f>O7/M7-1</f>
        <v>0.0216110019646365</v>
      </c>
      <c r="Q8" s="33">
        <f>Q7/O7-1</f>
        <v>0.005341880341880323</v>
      </c>
      <c r="S8" s="35">
        <v>0.01</v>
      </c>
      <c r="U8" s="33">
        <f>S8</f>
        <v>0.01</v>
      </c>
      <c r="X8" s="36"/>
    </row>
    <row r="9" ht="4.5" customHeight="1"/>
    <row r="10" spans="2:21" s="37" customFormat="1" ht="12.75">
      <c r="B10" s="37" t="s">
        <v>25</v>
      </c>
      <c r="G10" s="38">
        <v>182.5</v>
      </c>
      <c r="I10" s="38">
        <v>188.6</v>
      </c>
      <c r="K10" s="38">
        <v>207.7</v>
      </c>
      <c r="M10" s="38">
        <v>239.6</v>
      </c>
      <c r="O10" s="38">
        <v>249.8</v>
      </c>
      <c r="Q10" s="38">
        <v>252.2</v>
      </c>
      <c r="S10" s="39">
        <f>S11*S7</f>
        <v>254.72199999999998</v>
      </c>
      <c r="U10" s="39">
        <f>U11*U7</f>
        <v>257.26921999999996</v>
      </c>
    </row>
    <row r="11" spans="3:24" s="19" customFormat="1" ht="12.75" customHeight="1" thickBot="1">
      <c r="C11" s="19" t="s">
        <v>26</v>
      </c>
      <c r="G11" s="40">
        <f>G10/G7</f>
        <v>0.49217907227615965</v>
      </c>
      <c r="I11" s="40">
        <f>I10/I7</f>
        <v>0.49527310924369744</v>
      </c>
      <c r="K11" s="40">
        <f>K10/K7</f>
        <v>0.5160248447204968</v>
      </c>
      <c r="M11" s="40">
        <f>M10/M7</f>
        <v>0.5230299061340319</v>
      </c>
      <c r="O11" s="40">
        <f>O10/O7</f>
        <v>0.5337606837606838</v>
      </c>
      <c r="Q11" s="40">
        <f>Q10/Q7</f>
        <v>0.5360255047821466</v>
      </c>
      <c r="S11" s="41">
        <f>Q11</f>
        <v>0.5360255047821466</v>
      </c>
      <c r="U11" s="40">
        <f>S11</f>
        <v>0.5360255047821466</v>
      </c>
      <c r="X11" s="36"/>
    </row>
    <row r="12" spans="2:24" ht="12.75">
      <c r="B12" t="s">
        <v>27</v>
      </c>
      <c r="G12" s="42">
        <f>G7-G10</f>
        <v>188.3</v>
      </c>
      <c r="I12" s="42">
        <f>I7-I10</f>
        <v>192.20000000000002</v>
      </c>
      <c r="K12" s="42">
        <f>K7-K10</f>
        <v>194.8</v>
      </c>
      <c r="M12" s="42">
        <f>M7-M10</f>
        <v>218.50000000000003</v>
      </c>
      <c r="O12" s="42">
        <f>O7-O10</f>
        <v>218.2</v>
      </c>
      <c r="Q12" s="42">
        <f>Q7-Q10</f>
        <v>218.3</v>
      </c>
      <c r="S12" s="42">
        <f>S7-S10</f>
        <v>220.483</v>
      </c>
      <c r="U12" s="42">
        <f>U7-U10</f>
        <v>222.68783000000002</v>
      </c>
      <c r="X12" s="33">
        <f>(U12/M12)^(1/(U$5-$M$5))-1</f>
        <v>0.004757508860870674</v>
      </c>
    </row>
    <row r="13" spans="3:24" s="19" customFormat="1" ht="12.75" customHeight="1">
      <c r="C13" s="19" t="s">
        <v>28</v>
      </c>
      <c r="G13" s="40">
        <f>G12/G$7</f>
        <v>0.5078209277238404</v>
      </c>
      <c r="I13" s="40">
        <f>I12/I$7</f>
        <v>0.5047268907563025</v>
      </c>
      <c r="K13" s="40">
        <f>K12/K$7</f>
        <v>0.48397515527950313</v>
      </c>
      <c r="M13" s="40">
        <f>M12/M$7</f>
        <v>0.47697009386596817</v>
      </c>
      <c r="O13" s="40">
        <f>O12/O$7</f>
        <v>0.4662393162393162</v>
      </c>
      <c r="Q13" s="40">
        <f>Q12/Q$7</f>
        <v>0.4639744952178534</v>
      </c>
      <c r="S13" s="40">
        <f>S12/S$7</f>
        <v>0.4639744952178534</v>
      </c>
      <c r="U13" s="40">
        <f>U12/U$7</f>
        <v>0.4639744952178534</v>
      </c>
      <c r="X13" s="36"/>
    </row>
    <row r="14" ht="4.5" customHeight="1"/>
    <row r="15" spans="2:21" s="37" customFormat="1" ht="12.75" customHeight="1">
      <c r="B15" s="37" t="s">
        <v>29</v>
      </c>
      <c r="G15" s="38">
        <v>46.6</v>
      </c>
      <c r="I15" s="43">
        <v>61.9</v>
      </c>
      <c r="K15" s="38">
        <v>74.8</v>
      </c>
      <c r="M15" s="38">
        <v>88.3</v>
      </c>
      <c r="O15" s="38">
        <v>91.7</v>
      </c>
      <c r="Q15" s="38">
        <v>92.4</v>
      </c>
      <c r="S15" s="39">
        <f>S16*S7</f>
        <v>93.324</v>
      </c>
      <c r="U15" s="39">
        <f>U16*U7</f>
        <v>94.25724</v>
      </c>
    </row>
    <row r="16" spans="3:24" s="19" customFormat="1" ht="12.75" customHeight="1">
      <c r="C16" s="19" t="s">
        <v>26</v>
      </c>
      <c r="G16" s="40">
        <f>G15/G$7</f>
        <v>0.1256742179072276</v>
      </c>
      <c r="I16" s="40">
        <f>I15/I$7</f>
        <v>0.16255252100840334</v>
      </c>
      <c r="K16" s="40">
        <f>K15/K$7</f>
        <v>0.18583850931677018</v>
      </c>
      <c r="M16" s="40">
        <f>M15/M$7</f>
        <v>0.19275267408862692</v>
      </c>
      <c r="O16" s="40">
        <f>O15/O$7</f>
        <v>0.19594017094017094</v>
      </c>
      <c r="Q16" s="40">
        <f>Q15/Q$7</f>
        <v>0.19638682252922424</v>
      </c>
      <c r="S16" s="41">
        <f>Q16</f>
        <v>0.19638682252922424</v>
      </c>
      <c r="U16" s="40">
        <f>S16</f>
        <v>0.19638682252922424</v>
      </c>
      <c r="X16" s="36"/>
    </row>
    <row r="17" ht="4.5" customHeight="1"/>
    <row r="18" spans="1:22" ht="4.5" customHeight="1">
      <c r="A18" s="44"/>
      <c r="B18" s="44"/>
      <c r="C18" s="44"/>
      <c r="D18" s="44"/>
      <c r="E18" s="44"/>
      <c r="F18" s="44"/>
      <c r="G18" s="44"/>
      <c r="H18" s="44"/>
      <c r="I18" s="44"/>
      <c r="J18" s="44"/>
      <c r="K18" s="44"/>
      <c r="L18" s="44"/>
      <c r="M18" s="44"/>
      <c r="N18" s="44"/>
      <c r="O18" s="44"/>
      <c r="P18" s="44"/>
      <c r="Q18" s="44"/>
      <c r="R18" s="44"/>
      <c r="S18" s="44"/>
      <c r="T18" s="44"/>
      <c r="U18" s="44"/>
      <c r="V18" s="45"/>
    </row>
    <row r="19" spans="1:24" s="10" customFormat="1" ht="12.75">
      <c r="A19" s="46"/>
      <c r="B19" s="46" t="s">
        <v>30</v>
      </c>
      <c r="C19" s="46"/>
      <c r="D19" s="46"/>
      <c r="E19" s="46"/>
      <c r="F19" s="46"/>
      <c r="G19" s="47">
        <f>G12-G15</f>
        <v>141.70000000000002</v>
      </c>
      <c r="H19" s="46"/>
      <c r="I19" s="47">
        <f>I12-I15</f>
        <v>130.3</v>
      </c>
      <c r="J19" s="46"/>
      <c r="K19" s="47">
        <f>K12-K15</f>
        <v>120.00000000000001</v>
      </c>
      <c r="L19" s="46"/>
      <c r="M19" s="47">
        <f>M12-M15</f>
        <v>130.20000000000005</v>
      </c>
      <c r="N19" s="46"/>
      <c r="O19" s="47">
        <f>O12-O15</f>
        <v>126.49999999999999</v>
      </c>
      <c r="P19" s="46"/>
      <c r="Q19" s="47">
        <f>Q12-Q15</f>
        <v>125.9</v>
      </c>
      <c r="R19" s="46"/>
      <c r="S19" s="47">
        <f>S12-S15</f>
        <v>127.159</v>
      </c>
      <c r="T19" s="46"/>
      <c r="U19" s="47">
        <f>U12-U15</f>
        <v>128.43059000000002</v>
      </c>
      <c r="V19" s="48"/>
      <c r="X19" s="33">
        <f>(U19/M19)^(1/(U$5-$M$5))-1</f>
        <v>-0.003414937546371344</v>
      </c>
    </row>
    <row r="20" spans="1:24" s="19" customFormat="1" ht="12.75" customHeight="1">
      <c r="A20" s="49"/>
      <c r="B20" s="49"/>
      <c r="C20" s="49" t="s">
        <v>28</v>
      </c>
      <c r="D20" s="49"/>
      <c r="E20" s="49"/>
      <c r="F20" s="49"/>
      <c r="G20" s="50">
        <f>G19/G$7</f>
        <v>0.38214670981661275</v>
      </c>
      <c r="H20" s="49"/>
      <c r="I20" s="50">
        <f>I19/I$7</f>
        <v>0.34217436974789917</v>
      </c>
      <c r="J20" s="49"/>
      <c r="K20" s="50">
        <f>K19/K$7</f>
        <v>0.2981366459627329</v>
      </c>
      <c r="L20" s="49"/>
      <c r="M20" s="50">
        <f>M19/M$7</f>
        <v>0.2842174197773413</v>
      </c>
      <c r="N20" s="49"/>
      <c r="O20" s="50">
        <f>O19/O$7</f>
        <v>0.2702991452991453</v>
      </c>
      <c r="P20" s="49"/>
      <c r="Q20" s="50">
        <f>Q19/Q$7</f>
        <v>0.26758767268862915</v>
      </c>
      <c r="R20" s="49"/>
      <c r="S20" s="50">
        <f>S19/S$7</f>
        <v>0.26758767268862915</v>
      </c>
      <c r="T20" s="49"/>
      <c r="U20" s="50">
        <f>U19/U$7</f>
        <v>0.26758767268862915</v>
      </c>
      <c r="V20" s="51"/>
      <c r="X20" s="36"/>
    </row>
    <row r="21" spans="1:22" ht="4.5" customHeight="1">
      <c r="A21" s="6"/>
      <c r="B21" s="6"/>
      <c r="C21" s="6"/>
      <c r="D21" s="6"/>
      <c r="E21" s="6"/>
      <c r="F21" s="6"/>
      <c r="G21" s="6"/>
      <c r="H21" s="6"/>
      <c r="I21" s="6"/>
      <c r="J21" s="6"/>
      <c r="K21" s="6"/>
      <c r="L21" s="6"/>
      <c r="M21" s="6"/>
      <c r="N21" s="6"/>
      <c r="O21" s="6"/>
      <c r="P21" s="6"/>
      <c r="Q21" s="6"/>
      <c r="R21" s="6"/>
      <c r="S21" s="6"/>
      <c r="T21" s="6"/>
      <c r="U21" s="6"/>
      <c r="V21" s="52"/>
    </row>
    <row r="22" spans="1:22" s="37" customFormat="1" ht="12.75" customHeight="1">
      <c r="A22" s="53"/>
      <c r="B22" s="53" t="s">
        <v>31</v>
      </c>
      <c r="C22" s="53"/>
      <c r="D22" s="53"/>
      <c r="E22" s="53"/>
      <c r="F22" s="53"/>
      <c r="G22" s="43">
        <v>14</v>
      </c>
      <c r="H22" s="53"/>
      <c r="I22" s="54">
        <v>11.1</v>
      </c>
      <c r="J22" s="53"/>
      <c r="K22" s="54">
        <v>12.1</v>
      </c>
      <c r="L22" s="53"/>
      <c r="M22" s="54">
        <v>14.1</v>
      </c>
      <c r="N22" s="53"/>
      <c r="O22" s="54">
        <v>14.1</v>
      </c>
      <c r="P22" s="53"/>
      <c r="Q22" s="54">
        <v>14.1</v>
      </c>
      <c r="R22" s="53"/>
      <c r="S22" s="55">
        <f>S23*S7</f>
        <v>14.241</v>
      </c>
      <c r="T22" s="53"/>
      <c r="U22" s="55">
        <f>U23*U7</f>
        <v>14.38341</v>
      </c>
      <c r="V22" s="56"/>
    </row>
    <row r="23" spans="1:24" s="19" customFormat="1" ht="12.75" customHeight="1">
      <c r="A23" s="49"/>
      <c r="B23" s="49"/>
      <c r="C23" s="49" t="s">
        <v>26</v>
      </c>
      <c r="D23" s="49"/>
      <c r="E23" s="49"/>
      <c r="F23" s="49"/>
      <c r="G23" s="50">
        <f>G22/G$7</f>
        <v>0.037756202804746494</v>
      </c>
      <c r="H23" s="49"/>
      <c r="I23" s="50">
        <f>I22/I$7</f>
        <v>0.029149159663865543</v>
      </c>
      <c r="J23" s="49"/>
      <c r="K23" s="50">
        <f>K22/K$7</f>
        <v>0.030062111801242235</v>
      </c>
      <c r="L23" s="49"/>
      <c r="M23" s="50">
        <f>M22/M$7</f>
        <v>0.03077930582842174</v>
      </c>
      <c r="N23" s="49"/>
      <c r="O23" s="50">
        <f>O22/O$7</f>
        <v>0.03012820512820513</v>
      </c>
      <c r="P23" s="49"/>
      <c r="Q23" s="50">
        <f>Q22/Q$7</f>
        <v>0.029968119022316685</v>
      </c>
      <c r="R23" s="49"/>
      <c r="S23" s="57">
        <f>Q23</f>
        <v>0.029968119022316685</v>
      </c>
      <c r="T23" s="49"/>
      <c r="U23" s="50">
        <f>S23</f>
        <v>0.029968119022316685</v>
      </c>
      <c r="V23" s="51"/>
      <c r="X23" s="36"/>
    </row>
    <row r="24" spans="1:22" s="37" customFormat="1" ht="12.75" customHeight="1">
      <c r="A24" s="53"/>
      <c r="B24" s="53" t="s">
        <v>32</v>
      </c>
      <c r="C24" s="53"/>
      <c r="D24" s="53"/>
      <c r="E24" s="53"/>
      <c r="F24" s="53"/>
      <c r="G24" s="43">
        <v>25.7</v>
      </c>
      <c r="H24" s="53"/>
      <c r="I24" s="54">
        <v>18.2</v>
      </c>
      <c r="J24" s="53"/>
      <c r="K24" s="54">
        <v>18.6</v>
      </c>
      <c r="L24" s="53"/>
      <c r="M24" s="54">
        <v>19.6</v>
      </c>
      <c r="N24" s="53"/>
      <c r="O24" s="54">
        <v>19.9</v>
      </c>
      <c r="P24" s="53"/>
      <c r="Q24" s="54">
        <v>20</v>
      </c>
      <c r="R24" s="53"/>
      <c r="S24" s="55">
        <f>Q24</f>
        <v>20</v>
      </c>
      <c r="T24" s="53"/>
      <c r="U24" s="55">
        <f>S24</f>
        <v>20</v>
      </c>
      <c r="V24" s="56"/>
    </row>
    <row r="25" spans="1:24" s="19" customFormat="1" ht="12.75" customHeight="1" thickBot="1">
      <c r="A25" s="49"/>
      <c r="B25" s="49"/>
      <c r="C25" s="49" t="s">
        <v>26</v>
      </c>
      <c r="D25" s="49"/>
      <c r="E25" s="49"/>
      <c r="F25" s="49"/>
      <c r="G25" s="50">
        <f>G24/G$7</f>
        <v>0.06930960086299892</v>
      </c>
      <c r="H25" s="49"/>
      <c r="I25" s="50">
        <f>I24/I$7</f>
        <v>0.04779411764705882</v>
      </c>
      <c r="J25" s="49"/>
      <c r="K25" s="50">
        <f>K24/K$7</f>
        <v>0.04621118012422361</v>
      </c>
      <c r="L25" s="49"/>
      <c r="M25" s="50">
        <f>M24/M$7</f>
        <v>0.0427854180309976</v>
      </c>
      <c r="N25" s="49"/>
      <c r="O25" s="50">
        <f>O24/O$7</f>
        <v>0.042521367521367516</v>
      </c>
      <c r="P25" s="49"/>
      <c r="Q25" s="50">
        <f>Q24/Q$7</f>
        <v>0.04250797024442083</v>
      </c>
      <c r="R25" s="49"/>
      <c r="S25" s="50">
        <f>S24/S$7</f>
        <v>0.042087099251901815</v>
      </c>
      <c r="T25" s="49"/>
      <c r="U25" s="50">
        <f>U24/U$7</f>
        <v>0.041670395298912685</v>
      </c>
      <c r="V25" s="51"/>
      <c r="X25" s="36"/>
    </row>
    <row r="26" spans="1:22" ht="12.75">
      <c r="A26" s="6"/>
      <c r="B26" s="6" t="s">
        <v>33</v>
      </c>
      <c r="C26" s="6"/>
      <c r="D26" s="6"/>
      <c r="E26" s="6"/>
      <c r="F26" s="6"/>
      <c r="G26" s="78">
        <f>G24+G22</f>
        <v>39.7</v>
      </c>
      <c r="H26" s="79"/>
      <c r="I26" s="78">
        <f>I24+I22</f>
        <v>29.299999999999997</v>
      </c>
      <c r="J26" s="79"/>
      <c r="K26" s="78">
        <f>K24+K22</f>
        <v>30.700000000000003</v>
      </c>
      <c r="L26" s="79"/>
      <c r="M26" s="78">
        <f>M24+M22</f>
        <v>33.7</v>
      </c>
      <c r="N26" s="79"/>
      <c r="O26" s="78">
        <f>O24+O22</f>
        <v>34</v>
      </c>
      <c r="P26" s="79"/>
      <c r="Q26" s="78">
        <f>Q24+Q22</f>
        <v>34.1</v>
      </c>
      <c r="R26" s="79"/>
      <c r="S26" s="78">
        <f>S24+S22</f>
        <v>34.241</v>
      </c>
      <c r="T26" s="79"/>
      <c r="U26" s="78">
        <f>U24+U22</f>
        <v>34.38341</v>
      </c>
      <c r="V26" s="52"/>
    </row>
    <row r="27" spans="1:24" s="19" customFormat="1" ht="12.75" customHeight="1">
      <c r="A27" s="49"/>
      <c r="B27" s="49"/>
      <c r="C27" s="49" t="s">
        <v>26</v>
      </c>
      <c r="D27" s="49"/>
      <c r="E27" s="49"/>
      <c r="F27" s="49"/>
      <c r="G27" s="50">
        <f>G26/G$7</f>
        <v>0.10706580366774542</v>
      </c>
      <c r="H27" s="49"/>
      <c r="I27" s="50">
        <f>I26/I$7</f>
        <v>0.07694327731092436</v>
      </c>
      <c r="J27" s="49"/>
      <c r="K27" s="50">
        <f>K26/K$7</f>
        <v>0.07627329192546585</v>
      </c>
      <c r="L27" s="49"/>
      <c r="M27" s="50">
        <f>M26/M$7</f>
        <v>0.07356472385941934</v>
      </c>
      <c r="N27" s="49"/>
      <c r="O27" s="50">
        <f>O26/O$7</f>
        <v>0.07264957264957266</v>
      </c>
      <c r="P27" s="49"/>
      <c r="Q27" s="50">
        <f>Q26/Q$7</f>
        <v>0.07247608926673751</v>
      </c>
      <c r="R27" s="49"/>
      <c r="S27" s="50">
        <f>S26/S$7</f>
        <v>0.0720552182742185</v>
      </c>
      <c r="T27" s="49"/>
      <c r="U27" s="50">
        <f>U26/U$7</f>
        <v>0.07163851432122936</v>
      </c>
      <c r="V27" s="51"/>
      <c r="X27" s="36"/>
    </row>
    <row r="28" spans="1:22" ht="4.5" customHeight="1">
      <c r="A28" s="6"/>
      <c r="B28" s="6"/>
      <c r="C28" s="6"/>
      <c r="D28" s="6"/>
      <c r="E28" s="6"/>
      <c r="F28" s="6"/>
      <c r="G28" s="6"/>
      <c r="H28" s="6"/>
      <c r="I28" s="6"/>
      <c r="J28" s="6"/>
      <c r="K28" s="6"/>
      <c r="L28" s="6"/>
      <c r="M28" s="6"/>
      <c r="N28" s="6"/>
      <c r="O28" s="6"/>
      <c r="P28" s="6"/>
      <c r="Q28" s="6"/>
      <c r="R28" s="6"/>
      <c r="S28" s="6"/>
      <c r="T28" s="6"/>
      <c r="U28" s="6"/>
      <c r="V28" s="52"/>
    </row>
    <row r="29" spans="1:22" s="37" customFormat="1" ht="12.75">
      <c r="A29" s="53"/>
      <c r="B29" s="53" t="s">
        <v>34</v>
      </c>
      <c r="C29" s="53"/>
      <c r="D29" s="53"/>
      <c r="E29" s="53"/>
      <c r="F29" s="53"/>
      <c r="G29" s="54">
        <v>16.5</v>
      </c>
      <c r="H29" s="53"/>
      <c r="I29" s="54">
        <v>13.4</v>
      </c>
      <c r="J29" s="53"/>
      <c r="K29" s="54">
        <v>11.3</v>
      </c>
      <c r="L29" s="53"/>
      <c r="M29" s="54">
        <v>10.8</v>
      </c>
      <c r="N29" s="53"/>
      <c r="O29" s="54">
        <v>10.6</v>
      </c>
      <c r="P29" s="53"/>
      <c r="Q29" s="54">
        <v>10.7</v>
      </c>
      <c r="R29" s="53"/>
      <c r="S29" s="55">
        <f>S30*S7</f>
        <v>10.806999999999999</v>
      </c>
      <c r="T29" s="53"/>
      <c r="U29" s="55">
        <f>U30*U7</f>
        <v>10.915069999999998</v>
      </c>
      <c r="V29" s="56"/>
    </row>
    <row r="30" spans="1:24" s="19" customFormat="1" ht="12.75" customHeight="1">
      <c r="A30" s="49"/>
      <c r="B30" s="49"/>
      <c r="C30" s="49" t="s">
        <v>26</v>
      </c>
      <c r="D30" s="49"/>
      <c r="E30" s="49"/>
      <c r="F30" s="49"/>
      <c r="G30" s="50">
        <f>G29/G$7</f>
        <v>0.04449838187702265</v>
      </c>
      <c r="H30" s="49"/>
      <c r="I30" s="50">
        <f>I29/I$7</f>
        <v>0.0351890756302521</v>
      </c>
      <c r="J30" s="49"/>
      <c r="K30" s="50">
        <f>K29/K$7</f>
        <v>0.028074534161490684</v>
      </c>
      <c r="L30" s="49"/>
      <c r="M30" s="50">
        <f>M29/M$7</f>
        <v>0.023575638506876228</v>
      </c>
      <c r="N30" s="49"/>
      <c r="O30" s="50">
        <f>O29/O$7</f>
        <v>0.02264957264957265</v>
      </c>
      <c r="P30" s="49"/>
      <c r="Q30" s="50">
        <f>Q29/Q$7</f>
        <v>0.022741764080765142</v>
      </c>
      <c r="R30" s="49"/>
      <c r="S30" s="57">
        <f>Q30</f>
        <v>0.022741764080765142</v>
      </c>
      <c r="T30" s="49"/>
      <c r="U30" s="50">
        <f>S30</f>
        <v>0.022741764080765142</v>
      </c>
      <c r="V30" s="51"/>
      <c r="X30" s="36"/>
    </row>
    <row r="31" spans="1:22" ht="4.5" customHeight="1">
      <c r="A31" s="6"/>
      <c r="B31" s="6"/>
      <c r="C31" s="6"/>
      <c r="D31" s="6"/>
      <c r="E31" s="6"/>
      <c r="F31" s="6"/>
      <c r="G31" s="6"/>
      <c r="H31" s="6"/>
      <c r="I31" s="6"/>
      <c r="J31" s="6"/>
      <c r="K31" s="6"/>
      <c r="L31" s="6"/>
      <c r="M31" s="6"/>
      <c r="N31" s="6"/>
      <c r="O31" s="6"/>
      <c r="P31" s="6"/>
      <c r="Q31" s="6"/>
      <c r="R31" s="6"/>
      <c r="S31" s="6"/>
      <c r="T31" s="6"/>
      <c r="U31" s="6"/>
      <c r="V31" s="52"/>
    </row>
    <row r="32" spans="1:24" s="10" customFormat="1" ht="12.75">
      <c r="A32" s="46"/>
      <c r="B32" s="46" t="s">
        <v>35</v>
      </c>
      <c r="C32" s="46"/>
      <c r="D32" s="46"/>
      <c r="E32" s="46"/>
      <c r="F32" s="46"/>
      <c r="G32" s="47">
        <f>G19-G26-G29</f>
        <v>85.50000000000001</v>
      </c>
      <c r="H32" s="46"/>
      <c r="I32" s="47">
        <f>I19-I26-I29</f>
        <v>87.60000000000001</v>
      </c>
      <c r="J32" s="46"/>
      <c r="K32" s="47">
        <f>K19-K26-K29</f>
        <v>78.00000000000001</v>
      </c>
      <c r="L32" s="46"/>
      <c r="M32" s="47">
        <f>M19-M26-M29</f>
        <v>85.70000000000005</v>
      </c>
      <c r="N32" s="46"/>
      <c r="O32" s="47">
        <f>O19-O26-O29</f>
        <v>81.89999999999999</v>
      </c>
      <c r="P32" s="46"/>
      <c r="Q32" s="47">
        <f>Q19-Q26-Q29</f>
        <v>81.10000000000001</v>
      </c>
      <c r="R32" s="46"/>
      <c r="S32" s="47">
        <f>S19-S26-S29</f>
        <v>82.111</v>
      </c>
      <c r="T32" s="46"/>
      <c r="U32" s="47">
        <f>U19-U26-U29</f>
        <v>83.13211000000003</v>
      </c>
      <c r="V32" s="48"/>
      <c r="X32" s="33">
        <f>(U32/M32)^(1/(U$5-$M$5))-1</f>
        <v>-0.0075766008655852035</v>
      </c>
    </row>
    <row r="33" spans="1:24" s="19" customFormat="1" ht="12.75" customHeight="1">
      <c r="A33" s="49"/>
      <c r="B33" s="49"/>
      <c r="C33" s="49" t="s">
        <v>28</v>
      </c>
      <c r="D33" s="49"/>
      <c r="E33" s="49"/>
      <c r="F33" s="49"/>
      <c r="G33" s="50">
        <f>G32/G$7</f>
        <v>0.2305825242718447</v>
      </c>
      <c r="H33" s="49"/>
      <c r="I33" s="50">
        <f>I32/I$7</f>
        <v>0.2300420168067227</v>
      </c>
      <c r="J33" s="49"/>
      <c r="K33" s="50">
        <f>K32/K$7</f>
        <v>0.19378881987577642</v>
      </c>
      <c r="L33" s="49"/>
      <c r="M33" s="50">
        <f>M32/M$7</f>
        <v>0.18707705741104572</v>
      </c>
      <c r="N33" s="49"/>
      <c r="O33" s="50">
        <f>O32/O$7</f>
        <v>0.175</v>
      </c>
      <c r="P33" s="49"/>
      <c r="Q33" s="50">
        <f>Q32/Q$7</f>
        <v>0.17236981934112647</v>
      </c>
      <c r="R33" s="49"/>
      <c r="S33" s="50">
        <f>S32/S$7</f>
        <v>0.1727906903336455</v>
      </c>
      <c r="T33" s="49"/>
      <c r="U33" s="50">
        <f>U32/U$7</f>
        <v>0.17320739428663467</v>
      </c>
      <c r="V33" s="51"/>
      <c r="X33" s="36"/>
    </row>
    <row r="34" spans="1:22" ht="4.5" customHeight="1">
      <c r="A34" s="6"/>
      <c r="B34" s="6"/>
      <c r="C34" s="6"/>
      <c r="D34" s="6"/>
      <c r="E34" s="6"/>
      <c r="F34" s="6"/>
      <c r="G34" s="6"/>
      <c r="H34" s="6"/>
      <c r="I34" s="6"/>
      <c r="J34" s="6"/>
      <c r="K34" s="6"/>
      <c r="L34" s="6"/>
      <c r="M34" s="6"/>
      <c r="N34" s="6"/>
      <c r="O34" s="6"/>
      <c r="P34" s="6"/>
      <c r="Q34" s="6"/>
      <c r="R34" s="6"/>
      <c r="S34" s="6"/>
      <c r="T34" s="6"/>
      <c r="U34" s="6"/>
      <c r="V34" s="52"/>
    </row>
    <row r="35" spans="1:24" s="10" customFormat="1" ht="12.75">
      <c r="A35" s="46"/>
      <c r="B35" s="46" t="s">
        <v>36</v>
      </c>
      <c r="C35" s="46"/>
      <c r="D35" s="46"/>
      <c r="E35" s="46"/>
      <c r="F35" s="46"/>
      <c r="G35" s="47">
        <f>G32+G24+G29</f>
        <v>127.70000000000002</v>
      </c>
      <c r="H35" s="46"/>
      <c r="I35" s="47">
        <f>I32+I24+I29</f>
        <v>119.20000000000002</v>
      </c>
      <c r="J35" s="46"/>
      <c r="K35" s="47">
        <f>K32+K24+K29</f>
        <v>107.90000000000002</v>
      </c>
      <c r="L35" s="46"/>
      <c r="M35" s="47">
        <f>M32+M24+M29</f>
        <v>116.10000000000004</v>
      </c>
      <c r="N35" s="46"/>
      <c r="O35" s="47">
        <f>O32+O24+O29</f>
        <v>112.39999999999998</v>
      </c>
      <c r="P35" s="46"/>
      <c r="Q35" s="47">
        <f>Q32+Q24+Q29</f>
        <v>111.80000000000001</v>
      </c>
      <c r="R35" s="46"/>
      <c r="S35" s="47">
        <f>S32+S24+S29</f>
        <v>112.918</v>
      </c>
      <c r="T35" s="46"/>
      <c r="U35" s="47">
        <f>U32+U24+U29</f>
        <v>114.04718000000003</v>
      </c>
      <c r="V35" s="48"/>
      <c r="X35" s="33">
        <f>(U35/M35)^(1/(U$5-$M$5))-1</f>
        <v>-0.004449985910014886</v>
      </c>
    </row>
    <row r="36" spans="1:24" s="19" customFormat="1" ht="12.75" customHeight="1">
      <c r="A36" s="49"/>
      <c r="B36" s="49"/>
      <c r="C36" s="49" t="s">
        <v>28</v>
      </c>
      <c r="D36" s="49"/>
      <c r="E36" s="49"/>
      <c r="F36" s="49"/>
      <c r="G36" s="50">
        <f>G35/G$7</f>
        <v>0.3443905070118663</v>
      </c>
      <c r="H36" s="49"/>
      <c r="I36" s="50">
        <f>I35/I$7</f>
        <v>0.31302521008403367</v>
      </c>
      <c r="J36" s="49"/>
      <c r="K36" s="50">
        <f>K35/K$7</f>
        <v>0.26807453416149074</v>
      </c>
      <c r="L36" s="49"/>
      <c r="M36" s="50">
        <f>M35/M$7</f>
        <v>0.2534381139489195</v>
      </c>
      <c r="N36" s="49"/>
      <c r="O36" s="50">
        <f>O35/O$7</f>
        <v>0.24017094017094012</v>
      </c>
      <c r="P36" s="49"/>
      <c r="Q36" s="50">
        <f>Q35/Q$7</f>
        <v>0.23761955366631246</v>
      </c>
      <c r="R36" s="49"/>
      <c r="S36" s="50">
        <f>S35/S$7</f>
        <v>0.23761955366631246</v>
      </c>
      <c r="T36" s="49"/>
      <c r="U36" s="50">
        <f>U35/U$7</f>
        <v>0.2376195536663125</v>
      </c>
      <c r="V36" s="51"/>
      <c r="X36" s="36"/>
    </row>
    <row r="37" spans="1:22" ht="4.5" customHeight="1">
      <c r="A37" s="58"/>
      <c r="B37" s="58"/>
      <c r="C37" s="58"/>
      <c r="D37" s="58"/>
      <c r="E37" s="58"/>
      <c r="F37" s="58"/>
      <c r="G37" s="58"/>
      <c r="H37" s="58"/>
      <c r="I37" s="58"/>
      <c r="J37" s="58"/>
      <c r="K37" s="58"/>
      <c r="L37" s="58"/>
      <c r="M37" s="58"/>
      <c r="N37" s="58"/>
      <c r="O37" s="58"/>
      <c r="P37" s="58"/>
      <c r="Q37" s="58"/>
      <c r="R37" s="58"/>
      <c r="S37" s="58"/>
      <c r="T37" s="58"/>
      <c r="U37" s="58"/>
      <c r="V37" s="59"/>
    </row>
    <row r="38" ht="4.5" customHeight="1">
      <c r="C38" s="60"/>
    </row>
    <row r="39" spans="2:21" s="37" customFormat="1" ht="12.75">
      <c r="B39" s="37" t="s">
        <v>37</v>
      </c>
      <c r="G39" s="38">
        <v>4.9</v>
      </c>
      <c r="I39" s="38">
        <v>0.9</v>
      </c>
      <c r="K39" s="61">
        <v>0</v>
      </c>
      <c r="M39" s="38">
        <v>-2.4</v>
      </c>
      <c r="O39" s="61">
        <v>0</v>
      </c>
      <c r="P39" s="5"/>
      <c r="Q39" s="61">
        <v>0</v>
      </c>
      <c r="S39" s="62">
        <f>Q39</f>
        <v>0</v>
      </c>
      <c r="T39" s="63"/>
      <c r="U39" s="62">
        <f>S39</f>
        <v>0</v>
      </c>
    </row>
    <row r="40" spans="2:21" ht="12.75">
      <c r="B40" t="s">
        <v>38</v>
      </c>
      <c r="G40" s="61">
        <v>0</v>
      </c>
      <c r="I40" s="61">
        <v>0</v>
      </c>
      <c r="K40" s="61">
        <v>0</v>
      </c>
      <c r="M40" s="61">
        <v>0</v>
      </c>
      <c r="O40" s="61">
        <v>0</v>
      </c>
      <c r="Q40" s="61">
        <v>0</v>
      </c>
      <c r="S40" s="62">
        <f>Q40</f>
        <v>0</v>
      </c>
      <c r="T40" s="63"/>
      <c r="U40" s="62">
        <f>S40</f>
        <v>0</v>
      </c>
    </row>
    <row r="41" spans="2:21" ht="12.75">
      <c r="B41" t="s">
        <v>39</v>
      </c>
      <c r="G41" s="61">
        <v>0</v>
      </c>
      <c r="I41" s="61">
        <v>0</v>
      </c>
      <c r="K41" s="61">
        <v>0</v>
      </c>
      <c r="M41" s="61">
        <v>0</v>
      </c>
      <c r="O41" s="61">
        <v>0</v>
      </c>
      <c r="Q41" s="61">
        <v>0</v>
      </c>
      <c r="S41" s="62">
        <f>Q41</f>
        <v>0</v>
      </c>
      <c r="T41" s="63"/>
      <c r="U41" s="62">
        <f>S41</f>
        <v>0</v>
      </c>
    </row>
    <row r="42" spans="2:21" s="37" customFormat="1" ht="13.5" customHeight="1" thickBot="1">
      <c r="B42" s="37" t="s">
        <v>40</v>
      </c>
      <c r="G42" s="38">
        <v>0.1</v>
      </c>
      <c r="I42" s="61">
        <v>0</v>
      </c>
      <c r="K42" s="61">
        <v>0</v>
      </c>
      <c r="M42" s="64">
        <v>-0.1</v>
      </c>
      <c r="N42" s="5"/>
      <c r="O42" s="61">
        <v>0</v>
      </c>
      <c r="P42" s="5"/>
      <c r="Q42" s="61">
        <v>0</v>
      </c>
      <c r="R42" s="5"/>
      <c r="S42" s="62">
        <f>Q42</f>
        <v>0</v>
      </c>
      <c r="T42" s="65"/>
      <c r="U42" s="62">
        <f>S42</f>
        <v>0</v>
      </c>
    </row>
    <row r="43" spans="2:24" ht="12.75">
      <c r="B43" t="s">
        <v>41</v>
      </c>
      <c r="G43" s="42">
        <f>G35-SUM(G39:G42)</f>
        <v>122.70000000000002</v>
      </c>
      <c r="I43" s="42">
        <f>I35-SUM(I39:I42)</f>
        <v>118.30000000000001</v>
      </c>
      <c r="K43" s="42">
        <f>K35-SUM(K39:K42)</f>
        <v>107.90000000000002</v>
      </c>
      <c r="L43" s="66"/>
      <c r="M43" s="42">
        <f>M35-SUM(M39:M42)</f>
        <v>118.60000000000004</v>
      </c>
      <c r="O43" s="42">
        <f>O35-SUM(O39:O42)</f>
        <v>112.39999999999998</v>
      </c>
      <c r="Q43" s="42">
        <f>Q35-SUM(Q39:Q42)</f>
        <v>111.80000000000001</v>
      </c>
      <c r="R43" s="66"/>
      <c r="S43" s="42">
        <f>S35-SUM(S39:S42)</f>
        <v>112.918</v>
      </c>
      <c r="U43" s="42">
        <f>U35-SUM(U39:U42)</f>
        <v>114.04718000000003</v>
      </c>
      <c r="X43" s="33">
        <f>(U43/M43)^(1/(U$5-$M$5))-1</f>
        <v>-0.009738338305643857</v>
      </c>
    </row>
    <row r="44" ht="4.5" customHeight="1"/>
    <row r="45" spans="2:24" s="37" customFormat="1" ht="12.75">
      <c r="B45" s="37" t="s">
        <v>42</v>
      </c>
      <c r="G45" s="39">
        <f>G46*G43</f>
        <v>42.945</v>
      </c>
      <c r="I45" s="39">
        <f>I46*I43</f>
        <v>41.405</v>
      </c>
      <c r="K45" s="39">
        <f>K46*K43</f>
        <v>37.76500000000001</v>
      </c>
      <c r="M45" s="39">
        <f>M46*M43</f>
        <v>41.51000000000001</v>
      </c>
      <c r="O45" s="39">
        <f>O46*O43</f>
        <v>39.33999999999999</v>
      </c>
      <c r="Q45" s="39">
        <f>Q46*Q43</f>
        <v>39.13</v>
      </c>
      <c r="S45" s="39">
        <f>S46*S43</f>
        <v>39.5213</v>
      </c>
      <c r="U45" s="39">
        <f>U46*U43</f>
        <v>39.91651300000001</v>
      </c>
      <c r="X45" s="5"/>
    </row>
    <row r="46" spans="3:24" s="19" customFormat="1" ht="12.75" customHeight="1" thickBot="1">
      <c r="C46" s="19" t="s">
        <v>43</v>
      </c>
      <c r="G46" s="35">
        <v>0.35</v>
      </c>
      <c r="I46" s="67">
        <f>G46</f>
        <v>0.35</v>
      </c>
      <c r="K46" s="67">
        <f>I46</f>
        <v>0.35</v>
      </c>
      <c r="M46" s="67">
        <f>K46</f>
        <v>0.35</v>
      </c>
      <c r="O46" s="67">
        <f>M46</f>
        <v>0.35</v>
      </c>
      <c r="Q46" s="67">
        <f>O46</f>
        <v>0.35</v>
      </c>
      <c r="S46" s="67">
        <f>Q46</f>
        <v>0.35</v>
      </c>
      <c r="U46" s="67">
        <f>S46</f>
        <v>0.35</v>
      </c>
      <c r="X46" s="37"/>
    </row>
    <row r="47" spans="7:24" ht="4.5" customHeight="1">
      <c r="G47" s="42"/>
      <c r="I47" s="42"/>
      <c r="K47" s="42"/>
      <c r="M47" s="42"/>
      <c r="O47" s="42"/>
      <c r="Q47" s="42"/>
      <c r="S47" s="42"/>
      <c r="U47" s="42"/>
      <c r="X47" s="36"/>
    </row>
    <row r="48" spans="2:24" s="10" customFormat="1" ht="12.75">
      <c r="B48" s="10" t="s">
        <v>44</v>
      </c>
      <c r="G48" s="32">
        <f>G43-G45</f>
        <v>79.75500000000002</v>
      </c>
      <c r="H48" s="32"/>
      <c r="I48" s="32">
        <f>I43-I45</f>
        <v>76.89500000000001</v>
      </c>
      <c r="K48" s="32">
        <f>K43-K45</f>
        <v>70.13500000000002</v>
      </c>
      <c r="M48" s="32">
        <f>M43-M45</f>
        <v>77.09000000000003</v>
      </c>
      <c r="O48" s="32">
        <f>O43-O45</f>
        <v>73.05999999999999</v>
      </c>
      <c r="Q48" s="32">
        <f>Q43-Q45</f>
        <v>72.67000000000002</v>
      </c>
      <c r="S48" s="32">
        <f>S43-S45</f>
        <v>73.39670000000001</v>
      </c>
      <c r="U48" s="32">
        <f>U43-U45</f>
        <v>74.13066700000002</v>
      </c>
      <c r="X48" s="33">
        <f>(U48/M48)^(1/(U$5-$M$5))-1</f>
        <v>-0.009738338305643857</v>
      </c>
    </row>
    <row r="49" spans="3:21" s="19" customFormat="1" ht="12.75" customHeight="1">
      <c r="C49" s="19" t="s">
        <v>28</v>
      </c>
      <c r="G49" s="40">
        <f>G48/G$7</f>
        <v>0.2150889967637541</v>
      </c>
      <c r="I49" s="40">
        <f>I48/I$7</f>
        <v>0.20193014705882356</v>
      </c>
      <c r="K49" s="40">
        <f>K48/K$7</f>
        <v>0.174248447204969</v>
      </c>
      <c r="M49" s="40">
        <f>M48/M$7</f>
        <v>0.16828203449028603</v>
      </c>
      <c r="O49" s="40">
        <f>O48/O$7</f>
        <v>0.1561111111111111</v>
      </c>
      <c r="Q49" s="40">
        <f>Q48/Q$7</f>
        <v>0.1544527098831031</v>
      </c>
      <c r="S49" s="40">
        <f>S48/S$7</f>
        <v>0.1544527098831031</v>
      </c>
      <c r="U49" s="40">
        <f>U48/U$7</f>
        <v>0.1544527098831031</v>
      </c>
    </row>
    <row r="50" ht="4.5" customHeight="1">
      <c r="X50" s="36"/>
    </row>
    <row r="51" spans="1:24" s="10" customFormat="1" ht="12.75">
      <c r="A51" s="68"/>
      <c r="B51" s="68" t="s">
        <v>45</v>
      </c>
      <c r="C51" s="68"/>
      <c r="D51" s="68"/>
      <c r="E51" s="68"/>
      <c r="F51" s="68"/>
      <c r="G51" s="69">
        <f>G48/G53</f>
        <v>2.2745550992470918</v>
      </c>
      <c r="H51" s="68"/>
      <c r="I51" s="69">
        <f>I48/I53</f>
        <v>2.269628099173554</v>
      </c>
      <c r="J51" s="68"/>
      <c r="K51" s="69">
        <f>K48/K53</f>
        <v>1.971191680719506</v>
      </c>
      <c r="L51" s="68"/>
      <c r="M51" s="69">
        <f>M48/M53</f>
        <v>2.136640798226165</v>
      </c>
      <c r="N51" s="68"/>
      <c r="O51" s="69">
        <f>O48/O53</f>
        <v>1.997266265718972</v>
      </c>
      <c r="P51" s="68"/>
      <c r="Q51" s="69">
        <f>Q48/Q53</f>
        <v>1.9866047020229638</v>
      </c>
      <c r="R51" s="68"/>
      <c r="S51" s="69">
        <f>S48/S53</f>
        <v>2.0064707490431934</v>
      </c>
      <c r="T51" s="68"/>
      <c r="U51" s="69">
        <f>U48/U53</f>
        <v>2.0265354565336255</v>
      </c>
      <c r="V51" s="70"/>
      <c r="X51" s="33">
        <f>(U51/M51)^(1/(U$5-$M$5))-1</f>
        <v>-0.01313971321355989</v>
      </c>
    </row>
    <row r="52" ht="4.5" customHeight="1"/>
    <row r="53" spans="2:21" ht="12.75">
      <c r="B53" t="s">
        <v>46</v>
      </c>
      <c r="G53" s="71">
        <v>35.064</v>
      </c>
      <c r="H53" s="71"/>
      <c r="I53" s="71">
        <v>33.88</v>
      </c>
      <c r="J53" s="71"/>
      <c r="K53" s="71">
        <v>35.58</v>
      </c>
      <c r="L53" s="71"/>
      <c r="M53" s="71">
        <v>36.08</v>
      </c>
      <c r="N53" s="71"/>
      <c r="O53" s="71">
        <v>36.58</v>
      </c>
      <c r="P53" s="71"/>
      <c r="Q53" s="71">
        <v>36.58</v>
      </c>
      <c r="R53" s="72"/>
      <c r="S53" s="73">
        <f>Q53</f>
        <v>36.58</v>
      </c>
      <c r="T53" s="73"/>
      <c r="U53" s="73">
        <f>S53</f>
        <v>36.58</v>
      </c>
    </row>
    <row r="55" ht="12.75">
      <c r="B55" s="10" t="s">
        <v>47</v>
      </c>
    </row>
    <row r="56" spans="3:21" ht="12.75">
      <c r="C56" t="s">
        <v>32</v>
      </c>
      <c r="G56" s="74">
        <f>G24*(1-G46)</f>
        <v>16.705000000000002</v>
      </c>
      <c r="I56" s="74">
        <f>I24*(1-I46)</f>
        <v>11.83</v>
      </c>
      <c r="K56" s="74">
        <f>K24*(1-K46)</f>
        <v>12.090000000000002</v>
      </c>
      <c r="M56" s="74">
        <f>M24*(1-M46)</f>
        <v>12.740000000000002</v>
      </c>
      <c r="O56" s="74">
        <f>O24*(1-O46)</f>
        <v>12.934999999999999</v>
      </c>
      <c r="Q56" s="74">
        <f>Q24*(1-Q46)</f>
        <v>13</v>
      </c>
      <c r="S56" s="74">
        <f>S24*(1-S46)</f>
        <v>13</v>
      </c>
      <c r="U56" s="74">
        <f>U24*(1-U46)</f>
        <v>13</v>
      </c>
    </row>
    <row r="57" spans="3:21" ht="12.75">
      <c r="C57" t="s">
        <v>34</v>
      </c>
      <c r="G57" s="39">
        <f>G29*(1-G46)</f>
        <v>10.725</v>
      </c>
      <c r="I57" s="39">
        <f>I29*(1-I46)</f>
        <v>8.71</v>
      </c>
      <c r="K57" s="39">
        <f>K29*(1-K46)</f>
        <v>7.345000000000001</v>
      </c>
      <c r="M57" s="39">
        <f>M29*(1-M46)</f>
        <v>7.0200000000000005</v>
      </c>
      <c r="O57" s="39">
        <f>O29*(1-O46)</f>
        <v>6.89</v>
      </c>
      <c r="Q57" s="39">
        <f>Q29*(1-Q46)</f>
        <v>6.955</v>
      </c>
      <c r="S57" s="39">
        <f>S29*(1-S46)</f>
        <v>7.02455</v>
      </c>
      <c r="U57" s="39">
        <f>U29*(1-U46)</f>
        <v>7.094795499999999</v>
      </c>
    </row>
    <row r="58" spans="3:21" ht="13.5" customHeight="1" thickBot="1">
      <c r="C58" t="s">
        <v>48</v>
      </c>
      <c r="G58" s="38">
        <v>8.2</v>
      </c>
      <c r="I58" s="38">
        <v>3.4</v>
      </c>
      <c r="K58" s="38">
        <v>0.7</v>
      </c>
      <c r="M58" s="64">
        <v>0.1</v>
      </c>
      <c r="N58" s="63"/>
      <c r="O58" s="61">
        <v>0</v>
      </c>
      <c r="P58" s="63"/>
      <c r="Q58" s="61">
        <v>0</v>
      </c>
      <c r="R58" s="63"/>
      <c r="S58" s="62">
        <f>Q58</f>
        <v>0</v>
      </c>
      <c r="T58" s="63"/>
      <c r="U58" s="62">
        <f>S58</f>
        <v>0</v>
      </c>
    </row>
    <row r="59" spans="7:21" ht="4.5" customHeight="1">
      <c r="G59" s="42"/>
      <c r="I59" s="42"/>
      <c r="K59" s="42"/>
      <c r="M59" s="42"/>
      <c r="O59" s="75"/>
      <c r="Q59" s="75"/>
      <c r="S59" s="75"/>
      <c r="U59" s="75"/>
    </row>
    <row r="60" spans="2:24" s="10" customFormat="1" ht="12.75">
      <c r="B60" s="10" t="s">
        <v>49</v>
      </c>
      <c r="G60" s="32">
        <f>G48-SUM(G56:G58)</f>
        <v>44.12500000000003</v>
      </c>
      <c r="I60" s="32">
        <f>I48-SUM(I56:I58)</f>
        <v>52.95500000000001</v>
      </c>
      <c r="K60" s="32">
        <f>K48-SUM(K56:K58)</f>
        <v>50.000000000000014</v>
      </c>
      <c r="M60" s="32">
        <f>M48-SUM(M56:M58)</f>
        <v>57.23000000000003</v>
      </c>
      <c r="O60" s="32">
        <f>O48-SUM(O56:O58)</f>
        <v>53.234999999999985</v>
      </c>
      <c r="Q60" s="32">
        <f>Q48-SUM(Q56:Q58)</f>
        <v>52.71500000000002</v>
      </c>
      <c r="S60" s="32">
        <f>S48-SUM(S56:S58)</f>
        <v>53.37215000000001</v>
      </c>
      <c r="U60" s="32">
        <f>U48-SUM(U56:U58)</f>
        <v>54.03587150000001</v>
      </c>
      <c r="X60" s="33">
        <f>(U60/M60)^(1/(U$5-$M$5))-1</f>
        <v>-0.014254953002548976</v>
      </c>
    </row>
    <row r="61" spans="3:21" s="19" customFormat="1" ht="12.75" customHeight="1">
      <c r="C61" s="19" t="s">
        <v>28</v>
      </c>
      <c r="G61" s="40">
        <f>G60/G$7</f>
        <v>0.11899946062567429</v>
      </c>
      <c r="I61" s="40">
        <f>I60/I$7</f>
        <v>0.13906250000000003</v>
      </c>
      <c r="K61" s="40">
        <f>K60/K$7</f>
        <v>0.12422360248447209</v>
      </c>
      <c r="M61" s="40">
        <f>M60/M$7</f>
        <v>0.1249290547915303</v>
      </c>
      <c r="O61" s="40">
        <f>O60/O$7</f>
        <v>0.11374999999999996</v>
      </c>
      <c r="Q61" s="40">
        <f>Q60/Q$7</f>
        <v>0.11204038257173224</v>
      </c>
      <c r="S61" s="40">
        <f>S60/S$7</f>
        <v>0.11231394871686959</v>
      </c>
      <c r="U61" s="40">
        <f>U60/U$7</f>
        <v>0.11258480628631252</v>
      </c>
    </row>
    <row r="62" ht="4.5" customHeight="1">
      <c r="X62" s="36"/>
    </row>
    <row r="63" spans="1:24" ht="12.75">
      <c r="A63" s="68"/>
      <c r="B63" s="68" t="s">
        <v>50</v>
      </c>
      <c r="C63" s="68"/>
      <c r="D63" s="68"/>
      <c r="E63" s="68"/>
      <c r="F63" s="68"/>
      <c r="G63" s="69">
        <f>G60/G53</f>
        <v>1.2584131873146256</v>
      </c>
      <c r="H63" s="68"/>
      <c r="I63" s="69">
        <f>I60/I53</f>
        <v>1.5630165289256202</v>
      </c>
      <c r="J63" s="68"/>
      <c r="K63" s="69">
        <f>K60/K53</f>
        <v>1.4052838673412034</v>
      </c>
      <c r="L63" s="68"/>
      <c r="M63" s="69">
        <f>M60/M53</f>
        <v>1.5861973392461206</v>
      </c>
      <c r="N63" s="68"/>
      <c r="O63" s="69">
        <f>O60/O53</f>
        <v>1.4553034445051938</v>
      </c>
      <c r="P63" s="68"/>
      <c r="Q63" s="69">
        <f>Q60/Q53</f>
        <v>1.4410880262438497</v>
      </c>
      <c r="R63" s="68"/>
      <c r="S63" s="69">
        <f>S60/S53</f>
        <v>1.4590527610716242</v>
      </c>
      <c r="T63" s="68"/>
      <c r="U63" s="69">
        <f>U60/U53</f>
        <v>1.4771971432476767</v>
      </c>
      <c r="V63" s="70"/>
      <c r="X63" s="33">
        <f>(U63/M63)^(1/(U$5-$M$5))-1</f>
        <v>-0.017640814132144578</v>
      </c>
    </row>
    <row r="65" spans="2:21" s="76" customFormat="1" ht="12.75" customHeight="1">
      <c r="B65" s="76" t="s">
        <v>51</v>
      </c>
      <c r="G65" s="77">
        <v>26</v>
      </c>
      <c r="I65" s="77">
        <v>12.5</v>
      </c>
      <c r="K65" s="77">
        <v>18</v>
      </c>
      <c r="M65" s="77">
        <v>16</v>
      </c>
      <c r="O65" s="77">
        <v>14.1</v>
      </c>
      <c r="Q65" s="74">
        <f>Q66*Q7</f>
        <v>14.175320512820512</v>
      </c>
      <c r="S65" s="74">
        <f>S66*S7</f>
        <v>14.317073717948718</v>
      </c>
      <c r="U65" s="74">
        <f>U66*U7</f>
        <v>14.460244455128205</v>
      </c>
    </row>
    <row r="66" spans="1:23" s="19" customFormat="1" ht="12.75" customHeight="1">
      <c r="A66" s="49"/>
      <c r="B66" s="49"/>
      <c r="C66" s="49" t="s">
        <v>26</v>
      </c>
      <c r="D66" s="49"/>
      <c r="E66" s="49"/>
      <c r="F66" s="49"/>
      <c r="G66" s="50">
        <f>G65/G$7</f>
        <v>0.07011866235167206</v>
      </c>
      <c r="H66" s="49"/>
      <c r="I66" s="50">
        <f>I65/I$7</f>
        <v>0.03282563025210084</v>
      </c>
      <c r="J66" s="49"/>
      <c r="K66" s="50">
        <f>K65/K$7</f>
        <v>0.04472049689440994</v>
      </c>
      <c r="L66" s="49"/>
      <c r="M66" s="50">
        <f>M65/M$7</f>
        <v>0.034926871862038855</v>
      </c>
      <c r="N66" s="49"/>
      <c r="O66" s="50">
        <f>O65/O$7</f>
        <v>0.03012820512820513</v>
      </c>
      <c r="P66" s="49"/>
      <c r="Q66" s="50">
        <f>O66</f>
        <v>0.03012820512820513</v>
      </c>
      <c r="R66" s="49"/>
      <c r="S66" s="50">
        <f>Q66</f>
        <v>0.03012820512820513</v>
      </c>
      <c r="T66" s="49"/>
      <c r="U66" s="50">
        <f>S66</f>
        <v>0.03012820512820513</v>
      </c>
      <c r="V66" s="49"/>
      <c r="W66" s="4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2009-06-11T16:36:02Z</dcterms:created>
  <dcterms:modified xsi:type="dcterms:W3CDTF">2009-06-16T23:13:36Z</dcterms:modified>
  <cp:category/>
  <cp:version/>
  <cp:contentType/>
  <cp:contentStatus/>
</cp:coreProperties>
</file>