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32767" windowHeight="17565" activeTab="0"/>
  </bookViews>
  <sheets>
    <sheet name="DCF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<sst xmlns="http://schemas.openxmlformats.org/spreadsheetml/2006/main" count="52" uniqueCount="28">
  <si>
    <t>CAGR</t>
  </si>
  <si>
    <t>2008-2012</t>
  </si>
  <si>
    <t>EBITA</t>
  </si>
  <si>
    <t>Tax Rate</t>
  </si>
  <si>
    <t>Unlevered Net Income</t>
  </si>
  <si>
    <t>DCF Analysis (2008-2012):  EBITDA Multiple Method</t>
  </si>
  <si>
    <t>Total Enterprise Value</t>
  </si>
  <si>
    <t>Total Equity Value</t>
  </si>
  <si>
    <t>Terminal EBITDA Multiple</t>
  </si>
  <si>
    <t>Discount</t>
  </si>
  <si>
    <t>Rate</t>
  </si>
  <si>
    <t>(WACC)</t>
  </si>
  <si>
    <t>Implied Perpetuity Growth Rate</t>
  </si>
  <si>
    <t>Total Price Per Share</t>
  </si>
  <si>
    <t>DCF Analysis (2008-2012):  Perpetuity Growth Method</t>
  </si>
  <si>
    <t>Net Debt</t>
  </si>
  <si>
    <t>Shares</t>
  </si>
  <si>
    <t>Terminal Perpetuity Growth Rate</t>
  </si>
  <si>
    <t>Implied Terminal EBITDA Multiple</t>
  </si>
  <si>
    <t>Calendar Year Ending December 31,</t>
  </si>
  <si>
    <t>Unlevered Free Cash Flow</t>
  </si>
  <si>
    <t>Unlevered Free Cash Flow Calculation</t>
  </si>
  <si>
    <t>Less: Provision for Taxes</t>
  </si>
  <si>
    <t>EBIT</t>
  </si>
  <si>
    <t>Plus: Non-deductible Goodwill Amort.</t>
  </si>
  <si>
    <t>Less: Capital Expenditures</t>
  </si>
  <si>
    <t>Less: Increase in Net Working Capital</t>
  </si>
  <si>
    <t>Plus: D&amp;A (excl. non-deductible GW amort.)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</si>
</sst>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;&quot;$&quot;#,##0.0_);@_)"/>
    <numFmt numFmtId="165" formatCode="0.0%_);\(0.0%\);0.0%_);@_)"/>
    <numFmt numFmtId="166" formatCode="#,##0.0_);\(#,##0.0\);#,##0.0_);@_)"/>
    <numFmt numFmtId="167" formatCode="0.0\x_);\(0.0\x\);0.0\x_);@_)"/>
    <numFmt numFmtId="168" formatCode="&quot;$&quot;#,##0.00_);\(&quot;$&quot;#,##0.00\);&quot;$&quot;#,##0.00_);@_)"/>
    <numFmt numFmtId="169" formatCode="#,##0.000_);\(#,##0.000\);#,##0.000_);@_)"/>
    <numFmt numFmtId="170" formatCode="0\A"/>
    <numFmt numFmtId="171" formatCode="0\P"/>
    <numFmt numFmtId="172" formatCode="#,##0.0"/>
    <numFmt numFmtId="173" formatCode="0&quot;E&quot;"/>
    <numFmt numFmtId="174" formatCode="&quot;$&quot;#,##0.0_);\(&quot;$&quot;#,##0.0\)"/>
    <numFmt numFmtId="175" formatCode="#,##0.0_);\(#,##0.0\)"/>
    <numFmt numFmtId="176" formatCode="0\E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8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8" fontId="4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70" fontId="8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Continuous"/>
    </xf>
    <xf numFmtId="8" fontId="4" fillId="0" borderId="10" xfId="0" applyNumberFormat="1" applyFont="1" applyBorder="1" applyAlignment="1">
      <alignment horizontal="centerContinuous"/>
    </xf>
    <xf numFmtId="167" fontId="4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3" fontId="6" fillId="0" borderId="10" xfId="42" applyFont="1" applyBorder="1" applyAlignment="1">
      <alignment/>
    </xf>
    <xf numFmtId="164" fontId="4" fillId="0" borderId="0" xfId="42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175" fontId="4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4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39" fontId="4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39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4" fillId="0" borderId="10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5" fontId="10" fillId="0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PageLayoutView="0" workbookViewId="0" topLeftCell="A1">
      <selection activeCell="R7" sqref="R7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.7109375" style="0" customWidth="1"/>
    <col min="4" max="4" width="9.28125" style="0" customWidth="1"/>
    <col min="5" max="5" width="1.7109375" style="0" customWidth="1"/>
    <col min="6" max="6" width="9.28125" style="0" customWidth="1"/>
    <col min="7" max="7" width="1.7109375" style="0" customWidth="1"/>
    <col min="8" max="8" width="9.28125" style="0" customWidth="1"/>
    <col min="9" max="9" width="1.7109375" style="0" customWidth="1"/>
    <col min="10" max="10" width="9.28125" style="0" customWidth="1"/>
    <col min="11" max="11" width="1.7109375" style="0" customWidth="1"/>
    <col min="12" max="12" width="9.28125" style="0" customWidth="1"/>
    <col min="13" max="13" width="1.7109375" style="0" customWidth="1"/>
    <col min="14" max="14" width="9.28125" style="0" customWidth="1"/>
    <col min="15" max="15" width="1.7109375" style="0" customWidth="1"/>
    <col min="16" max="16" width="9.28125" style="0" customWidth="1"/>
    <col min="17" max="17" width="1.7109375" style="0" customWidth="1"/>
    <col min="18" max="18" width="9.28125" style="0" customWidth="1"/>
    <col min="19" max="19" width="1.7109375" style="0" customWidth="1"/>
    <col min="20" max="20" width="9.28125" style="0" customWidth="1"/>
    <col min="21" max="21" width="1.7109375" style="0" customWidth="1"/>
    <col min="22" max="22" width="9.28125" style="0" customWidth="1"/>
    <col min="23" max="23" width="1.7109375" style="0" customWidth="1"/>
    <col min="24" max="24" width="9.28125" style="0" customWidth="1"/>
  </cols>
  <sheetData>
    <row r="1" spans="1:20" ht="12.75">
      <c r="A1" s="24" t="s">
        <v>21</v>
      </c>
      <c r="B1" s="30"/>
      <c r="C1" s="30"/>
      <c r="D1" s="30"/>
      <c r="E1" s="30"/>
      <c r="F1" s="30"/>
      <c r="G1" s="30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3" spans="8:20" ht="12.75">
      <c r="H3" s="24" t="s">
        <v>19</v>
      </c>
      <c r="I3" s="25"/>
      <c r="J3" s="25"/>
      <c r="K3" s="25"/>
      <c r="L3" s="25"/>
      <c r="M3" s="25"/>
      <c r="N3" s="25"/>
      <c r="O3" s="25"/>
      <c r="P3" s="25"/>
      <c r="Q3" s="25"/>
      <c r="R3" s="25"/>
      <c r="T3" s="3" t="s">
        <v>0</v>
      </c>
    </row>
    <row r="4" spans="8:20" ht="12.75">
      <c r="H4" s="26">
        <v>2007</v>
      </c>
      <c r="J4" s="27">
        <f>H4+1</f>
        <v>2008</v>
      </c>
      <c r="K4" s="20"/>
      <c r="L4" s="27">
        <f>J4+1</f>
        <v>2009</v>
      </c>
      <c r="M4" s="20"/>
      <c r="N4" s="62">
        <f>L4+1</f>
        <v>2010</v>
      </c>
      <c r="O4" s="21"/>
      <c r="P4" s="62">
        <f>N4+1</f>
        <v>2011</v>
      </c>
      <c r="Q4" s="21"/>
      <c r="R4" s="62">
        <f>P4+1</f>
        <v>2012</v>
      </c>
      <c r="T4" s="28" t="s">
        <v>1</v>
      </c>
    </row>
    <row r="5" ht="4.5" customHeight="1"/>
    <row r="6" spans="1:20" ht="12.75">
      <c r="A6" t="s">
        <v>23</v>
      </c>
      <c r="H6" s="42">
        <v>120</v>
      </c>
      <c r="J6" s="42">
        <v>126.2</v>
      </c>
      <c r="L6" s="42">
        <v>133.2</v>
      </c>
      <c r="N6" s="42">
        <v>137.747368421053</v>
      </c>
      <c r="O6" s="43"/>
      <c r="P6" s="42">
        <v>142.449981283223</v>
      </c>
      <c r="Q6" s="43"/>
      <c r="R6" s="42">
        <v>147.31313853898</v>
      </c>
      <c r="T6" s="4">
        <f>(R6/J6)^(1/4)-1</f>
        <v>0.03943068114991699</v>
      </c>
    </row>
    <row r="7" spans="1:18" ht="12.75">
      <c r="A7" s="23" t="s">
        <v>24</v>
      </c>
      <c r="H7" s="40">
        <v>0</v>
      </c>
      <c r="J7" s="40">
        <v>0</v>
      </c>
      <c r="L7" s="40">
        <v>0</v>
      </c>
      <c r="N7" s="40">
        <v>0</v>
      </c>
      <c r="P7" s="40">
        <v>0</v>
      </c>
      <c r="R7" s="40">
        <v>0</v>
      </c>
    </row>
    <row r="8" spans="2:20" ht="12.75">
      <c r="B8" t="s">
        <v>2</v>
      </c>
      <c r="H8" s="41">
        <f>H6+H7</f>
        <v>120</v>
      </c>
      <c r="J8" s="41">
        <f>J6+J7</f>
        <v>126.2</v>
      </c>
      <c r="L8" s="41">
        <f>L6+L7</f>
        <v>133.2</v>
      </c>
      <c r="N8" s="41">
        <f>N6+N7</f>
        <v>137.747368421053</v>
      </c>
      <c r="P8" s="41">
        <f>P6+P7</f>
        <v>142.449981283223</v>
      </c>
      <c r="R8" s="41">
        <f>R6+R7</f>
        <v>147.31313853898</v>
      </c>
      <c r="T8" s="4">
        <f>(R8/J8)^(1/4)-1</f>
        <v>0.03943068114991699</v>
      </c>
    </row>
    <row r="9" spans="1:18" s="39" customFormat="1" ht="12.75">
      <c r="A9" s="39" t="s">
        <v>22</v>
      </c>
      <c r="H9" s="37">
        <f>-H8*$X$17</f>
        <v>-42</v>
      </c>
      <c r="I9"/>
      <c r="J9" s="37">
        <f>-J8*$X$17</f>
        <v>-44.17</v>
      </c>
      <c r="K9"/>
      <c r="L9" s="37">
        <f>-L8*$X$17</f>
        <v>-46.61999999999999</v>
      </c>
      <c r="M9"/>
      <c r="N9" s="37">
        <f>-N8*$X$17</f>
        <v>-48.21157894736855</v>
      </c>
      <c r="O9"/>
      <c r="P9" s="37">
        <f>-P8*$X$17</f>
        <v>-49.85749344912804</v>
      </c>
      <c r="Q9"/>
      <c r="R9" s="37">
        <f>-R8*$X$17</f>
        <v>-51.559598488643005</v>
      </c>
    </row>
    <row r="10" spans="2:20" s="2" customFormat="1" ht="12.75">
      <c r="B10" s="2" t="s">
        <v>4</v>
      </c>
      <c r="H10" s="19">
        <f>SUM(H8:H9)</f>
        <v>78</v>
      </c>
      <c r="J10" s="19">
        <f>SUM(J8:J9)</f>
        <v>82.03</v>
      </c>
      <c r="L10" s="19">
        <f>SUM(L8:L9)</f>
        <v>86.58</v>
      </c>
      <c r="N10" s="19">
        <f>SUM(N8:N9)</f>
        <v>89.53578947368446</v>
      </c>
      <c r="P10" s="19">
        <f>SUM(P8:P9)</f>
        <v>92.59248783409495</v>
      </c>
      <c r="R10" s="19">
        <f>SUM(R8:R9)</f>
        <v>95.75354005033701</v>
      </c>
      <c r="T10" s="4">
        <f>(R10/J10)^(1/4)-1</f>
        <v>0.03943068114991699</v>
      </c>
    </row>
    <row r="11" ht="4.5" customHeight="1"/>
    <row r="12" spans="1:18" ht="12.75">
      <c r="A12" s="10" t="s">
        <v>27</v>
      </c>
      <c r="H12" s="5">
        <v>15.3</v>
      </c>
      <c r="I12" s="43"/>
      <c r="J12" s="5">
        <v>15.9</v>
      </c>
      <c r="K12" s="43"/>
      <c r="L12" s="5">
        <v>16.7</v>
      </c>
      <c r="M12" s="43"/>
      <c r="N12" s="5">
        <v>16</v>
      </c>
      <c r="O12" s="43"/>
      <c r="P12" s="5">
        <v>15.6</v>
      </c>
      <c r="Q12" s="43"/>
      <c r="R12" s="5">
        <v>15.4</v>
      </c>
    </row>
    <row r="13" spans="1:18" ht="12.75">
      <c r="A13" t="s">
        <v>25</v>
      </c>
      <c r="H13" s="5">
        <v>-18</v>
      </c>
      <c r="I13" s="43"/>
      <c r="J13" s="5">
        <v>-16</v>
      </c>
      <c r="K13" s="43"/>
      <c r="L13" s="5">
        <v>-14.1</v>
      </c>
      <c r="M13" s="43"/>
      <c r="N13" s="5">
        <v>-14.5813655761024</v>
      </c>
      <c r="O13" s="43"/>
      <c r="P13" s="5">
        <v>-15.0791646853862</v>
      </c>
      <c r="Q13" s="43"/>
      <c r="R13" s="5">
        <v>-15.593958358856</v>
      </c>
    </row>
    <row r="14" spans="1:18" ht="12.75">
      <c r="A14" t="s">
        <v>26</v>
      </c>
      <c r="H14" s="36">
        <v>-9.5</v>
      </c>
      <c r="I14" s="43"/>
      <c r="J14" s="36">
        <v>8.3</v>
      </c>
      <c r="K14" s="43"/>
      <c r="L14" s="36">
        <v>3.1</v>
      </c>
      <c r="M14" s="43"/>
      <c r="N14" s="36">
        <v>3.20583214793741</v>
      </c>
      <c r="O14" s="43"/>
      <c r="P14" s="36">
        <v>3.3152773421771</v>
      </c>
      <c r="Q14" s="43"/>
      <c r="R14" s="36">
        <v>3.42845892996124</v>
      </c>
    </row>
    <row r="15" spans="2:20" ht="12.75">
      <c r="B15" s="2" t="s">
        <v>20</v>
      </c>
      <c r="H15" s="19">
        <f>SUM(H10:H14)</f>
        <v>65.8</v>
      </c>
      <c r="J15" s="19">
        <f>SUM(J10:J14)</f>
        <v>90.23</v>
      </c>
      <c r="L15" s="19">
        <f>SUM(L10:L14)</f>
        <v>92.28</v>
      </c>
      <c r="N15" s="19">
        <f>SUM(N10:N14)</f>
        <v>94.16025604551947</v>
      </c>
      <c r="P15" s="19">
        <f>SUM(P10:P14)</f>
        <v>96.42860049088584</v>
      </c>
      <c r="R15" s="19">
        <f>SUM(R10:R14)</f>
        <v>98.98804062144225</v>
      </c>
      <c r="T15" s="4">
        <f>(R15/J15)^(1/4)-1</f>
        <v>0.02342952691596123</v>
      </c>
    </row>
    <row r="16" spans="1:20" ht="12.75">
      <c r="A16" s="2"/>
      <c r="H16" s="19"/>
      <c r="J16" s="19"/>
      <c r="L16" s="19"/>
      <c r="N16" s="19"/>
      <c r="P16" s="19"/>
      <c r="R16" s="19"/>
      <c r="T16" s="4"/>
    </row>
    <row r="17" spans="22:24" ht="12.75">
      <c r="V17" t="s">
        <v>3</v>
      </c>
      <c r="X17" s="38">
        <v>0.35</v>
      </c>
    </row>
    <row r="18" spans="1:24" ht="12.75">
      <c r="A18" s="24" t="s">
        <v>5</v>
      </c>
      <c r="B18" s="30"/>
      <c r="C18" s="30"/>
      <c r="D18" s="30"/>
      <c r="E18" s="30"/>
      <c r="F18" s="30"/>
      <c r="G18" s="30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V18" t="s">
        <v>15</v>
      </c>
      <c r="X18" s="35">
        <v>83.394</v>
      </c>
    </row>
    <row r="19" spans="1:24" ht="12.75">
      <c r="A19" s="6"/>
      <c r="H19" s="7"/>
      <c r="V19" t="s">
        <v>16</v>
      </c>
      <c r="X19" s="22">
        <v>35.021206088993</v>
      </c>
    </row>
    <row r="20" spans="6:16" ht="12.75">
      <c r="F20" s="2" t="s">
        <v>6</v>
      </c>
      <c r="P20" s="2" t="s">
        <v>7</v>
      </c>
    </row>
    <row r="21" spans="6:20" ht="12.75">
      <c r="F21" s="30" t="s">
        <v>8</v>
      </c>
      <c r="G21" s="30"/>
      <c r="H21" s="30"/>
      <c r="I21" s="30"/>
      <c r="J21" s="30"/>
      <c r="P21" s="30" t="str">
        <f>F21</f>
        <v>Terminal EBITDA Multiple</v>
      </c>
      <c r="Q21" s="30"/>
      <c r="R21" s="30"/>
      <c r="S21" s="30"/>
      <c r="T21" s="30"/>
    </row>
    <row r="22" spans="6:20" ht="12.75">
      <c r="F22" s="33">
        <v>7.5</v>
      </c>
      <c r="G22" s="34"/>
      <c r="H22" s="33">
        <v>8</v>
      </c>
      <c r="I22" s="34"/>
      <c r="J22" s="33">
        <v>8.5</v>
      </c>
      <c r="P22" s="32">
        <f>F22</f>
        <v>7.5</v>
      </c>
      <c r="Q22" s="29"/>
      <c r="R22" s="32">
        <f>H22</f>
        <v>8</v>
      </c>
      <c r="S22" s="29"/>
      <c r="T22" s="32">
        <f>J22</f>
        <v>8.5</v>
      </c>
    </row>
    <row r="23" spans="3:20" ht="12.75">
      <c r="C23" s="8" t="s">
        <v>9</v>
      </c>
      <c r="D23" s="38">
        <v>0.1</v>
      </c>
      <c r="E23" s="44"/>
      <c r="F23" s="11">
        <f>NPV($D23,$J$15:$P$15,$R$15+F$22*$R$6)</f>
        <v>1042.3855629700186</v>
      </c>
      <c r="G23" s="10"/>
      <c r="H23" s="11">
        <f>NPV($D23,$J$15:$P$15,$R$15+H$22*$R$6)</f>
        <v>1088.1204974128286</v>
      </c>
      <c r="I23" s="10"/>
      <c r="J23" s="51">
        <f>NPV($D23,$J$15:$P$15,$R$15+J$22*$R$6)</f>
        <v>1133.8554318556387</v>
      </c>
      <c r="M23" s="8" t="s">
        <v>9</v>
      </c>
      <c r="N23" s="4">
        <f>$D$23</f>
        <v>0.1</v>
      </c>
      <c r="O23" s="44"/>
      <c r="P23" s="11">
        <f>F23-$X$18</f>
        <v>958.9915629700185</v>
      </c>
      <c r="Q23" s="10"/>
      <c r="R23" s="11">
        <f>H23-$X$18</f>
        <v>1004.7264974128286</v>
      </c>
      <c r="S23" s="10"/>
      <c r="T23" s="51">
        <f>J23-$X$18</f>
        <v>1050.4614318556387</v>
      </c>
    </row>
    <row r="24" spans="3:20" ht="12.75">
      <c r="C24" s="8" t="s">
        <v>10</v>
      </c>
      <c r="D24" s="38">
        <f>D23+0.01</f>
        <v>0.11</v>
      </c>
      <c r="E24" s="44"/>
      <c r="F24" s="45">
        <f>NPV($D24,$J$15:$P$15,$R$15+F$22*$R$6)</f>
        <v>1002.9728970133747</v>
      </c>
      <c r="G24" s="46"/>
      <c r="H24" s="45">
        <f>NPV($D24,$J$15:$P$15,$R$15+H$22*$R$6)</f>
        <v>1046.6844858665909</v>
      </c>
      <c r="I24" s="46"/>
      <c r="J24" s="52">
        <f>NPV($D24,$J$15:$P$15,$R$15+J$22*$R$6)</f>
        <v>1090.396074719807</v>
      </c>
      <c r="M24" s="8" t="s">
        <v>10</v>
      </c>
      <c r="N24" s="4">
        <f>$D$24</f>
        <v>0.11</v>
      </c>
      <c r="O24" s="44"/>
      <c r="P24" s="45">
        <f>F24-$X$18</f>
        <v>919.5788970133747</v>
      </c>
      <c r="Q24" s="46"/>
      <c r="R24" s="45">
        <f>H24-$X$18</f>
        <v>963.2904858665909</v>
      </c>
      <c r="S24" s="46"/>
      <c r="T24" s="52">
        <f>J24-$X$18</f>
        <v>1007.0020747198071</v>
      </c>
    </row>
    <row r="25" spans="3:20" ht="12.75">
      <c r="C25" s="8" t="s">
        <v>11</v>
      </c>
      <c r="D25" s="38">
        <f>D24+0.01</f>
        <v>0.12</v>
      </c>
      <c r="E25" s="44"/>
      <c r="F25" s="47">
        <f>NPV($D25,$J$15:$P$15,$R$15+F$22*$R$6)</f>
        <v>965.5202854875555</v>
      </c>
      <c r="G25" s="48"/>
      <c r="H25" s="47">
        <f>NPV($D25,$J$15:$P$15,$R$15+H$22*$R$6)</f>
        <v>1007.3150009911616</v>
      </c>
      <c r="I25" s="48"/>
      <c r="J25" s="57">
        <f>NPV($D25,$J$15:$P$15,$R$15+J$22*$R$6)</f>
        <v>1049.1097164947676</v>
      </c>
      <c r="M25" s="8" t="s">
        <v>11</v>
      </c>
      <c r="N25" s="4">
        <f>$D$25</f>
        <v>0.12</v>
      </c>
      <c r="O25" s="44"/>
      <c r="P25" s="47">
        <f>F25-$X$18</f>
        <v>882.1262854875555</v>
      </c>
      <c r="Q25" s="48"/>
      <c r="R25" s="47">
        <f>H25-$X$18</f>
        <v>923.9210009911616</v>
      </c>
      <c r="S25" s="48"/>
      <c r="T25" s="57">
        <f>J25-$X$18</f>
        <v>965.7157164947675</v>
      </c>
    </row>
    <row r="26" spans="5:16" ht="12.75">
      <c r="E26" s="23"/>
      <c r="F26" s="23"/>
      <c r="O26" s="23"/>
      <c r="P26" s="23"/>
    </row>
    <row r="27" spans="6:16" ht="12.75">
      <c r="F27" s="2" t="s">
        <v>12</v>
      </c>
      <c r="P27" s="2" t="s">
        <v>13</v>
      </c>
    </row>
    <row r="28" spans="6:20" ht="12.75">
      <c r="F28" s="30" t="str">
        <f>F21</f>
        <v>Terminal EBITDA Multiple</v>
      </c>
      <c r="G28" s="30"/>
      <c r="H28" s="30"/>
      <c r="I28" s="30"/>
      <c r="J28" s="30"/>
      <c r="P28" s="30" t="str">
        <f>F28</f>
        <v>Terminal EBITDA Multiple</v>
      </c>
      <c r="Q28" s="30"/>
      <c r="R28" s="30"/>
      <c r="S28" s="30"/>
      <c r="T28" s="30"/>
    </row>
    <row r="29" spans="6:20" ht="12.75">
      <c r="F29" s="32">
        <f>F22</f>
        <v>7.5</v>
      </c>
      <c r="G29" s="29"/>
      <c r="H29" s="32">
        <f>H22</f>
        <v>8</v>
      </c>
      <c r="I29" s="29"/>
      <c r="J29" s="32">
        <f>J22</f>
        <v>8.5</v>
      </c>
      <c r="P29" s="32">
        <f>P22</f>
        <v>7.5</v>
      </c>
      <c r="Q29" s="29"/>
      <c r="R29" s="32">
        <f>R22</f>
        <v>8</v>
      </c>
      <c r="S29" s="29"/>
      <c r="T29" s="32">
        <f>T22</f>
        <v>8.5</v>
      </c>
    </row>
    <row r="30" spans="3:20" ht="12.75">
      <c r="C30" s="8" t="s">
        <v>9</v>
      </c>
      <c r="D30" s="4">
        <f>$D$23</f>
        <v>0.1</v>
      </c>
      <c r="E30" s="44"/>
      <c r="F30" s="63">
        <f>(F$29*$R$6*$D30-$R$15)/(F$29*$R$6+$R$15)</f>
        <v>0.009550144493867756</v>
      </c>
      <c r="G30" s="64"/>
      <c r="H30" s="63">
        <f>(H$29*$R$6*$D30-$R$15)/(H$29*$R$6+$R$15)</f>
        <v>0.014765222205294864</v>
      </c>
      <c r="I30" s="64"/>
      <c r="J30" s="65">
        <f>(J$29*$R$6*$D30-$R$15)/(J$29*$R$6+$R$15)</f>
        <v>0.019411710473934772</v>
      </c>
      <c r="M30" s="8" t="s">
        <v>9</v>
      </c>
      <c r="N30" s="4">
        <f>$D$23</f>
        <v>0.1</v>
      </c>
      <c r="O30" s="44"/>
      <c r="P30" s="15">
        <f>P23/$X$19</f>
        <v>27.383167802191288</v>
      </c>
      <c r="Q30" s="14"/>
      <c r="R30" s="15">
        <f>R23/$X$19</f>
        <v>28.6890889725414</v>
      </c>
      <c r="S30" s="14"/>
      <c r="T30" s="53">
        <f>T23/$X$19</f>
        <v>29.995010142891505</v>
      </c>
    </row>
    <row r="31" spans="3:20" ht="12.75">
      <c r="C31" s="8" t="s">
        <v>10</v>
      </c>
      <c r="D31" s="4">
        <f>$D$24</f>
        <v>0.11</v>
      </c>
      <c r="E31" s="44"/>
      <c r="F31" s="63">
        <f>(F$29*$R$6*$D31-$R$15)/(F$29*$R$6+$R$15)</f>
        <v>0.01872787308017564</v>
      </c>
      <c r="G31" s="64"/>
      <c r="H31" s="63">
        <f>(H$29*$R$6*$D31-$R$15)/(H$29*$R$6+$R$15)</f>
        <v>0.023990360588979354</v>
      </c>
      <c r="I31" s="64"/>
      <c r="J31" s="66">
        <f>(J$29*$R$6*$D31-$R$15)/(J$29*$R$6+$R$15)</f>
        <v>0.02867908966006145</v>
      </c>
      <c r="M31" s="8" t="s">
        <v>10</v>
      </c>
      <c r="N31" s="4">
        <f>$D$24</f>
        <v>0.11</v>
      </c>
      <c r="O31" s="44"/>
      <c r="P31" s="49">
        <f>P24/$X$19</f>
        <v>26.257773495196503</v>
      </c>
      <c r="Q31" s="50"/>
      <c r="R31" s="49">
        <f>R24/$X$19</f>
        <v>27.50591979667281</v>
      </c>
      <c r="S31" s="50"/>
      <c r="T31" s="54">
        <f>T24/$X$19</f>
        <v>28.75406609814912</v>
      </c>
    </row>
    <row r="32" spans="3:20" ht="12.75">
      <c r="C32" s="8" t="s">
        <v>11</v>
      </c>
      <c r="D32" s="4">
        <f>$D$25</f>
        <v>0.12</v>
      </c>
      <c r="E32" s="44"/>
      <c r="F32" s="68">
        <f>(F$29*$R$6*$D32-$R$15)/(F$29*$R$6+$R$15)</f>
        <v>0.027905601666483513</v>
      </c>
      <c r="G32" s="67"/>
      <c r="H32" s="68">
        <f>(H$29*$R$6*$D32-$R$15)/(H$29*$R$6+$R$15)</f>
        <v>0.03321549897266387</v>
      </c>
      <c r="I32" s="67"/>
      <c r="J32" s="69">
        <f>(J$29*$R$6*$D32-$R$15)/(J$29*$R$6+$R$15)</f>
        <v>0.03794646884618813</v>
      </c>
      <c r="M32" s="8" t="s">
        <v>11</v>
      </c>
      <c r="N32" s="4">
        <f>$D$25</f>
        <v>0.12</v>
      </c>
      <c r="O32" s="44"/>
      <c r="P32" s="59">
        <f>P25/$X$19</f>
        <v>25.188346833229243</v>
      </c>
      <c r="Q32" s="58"/>
      <c r="R32" s="59">
        <f>R25/$X$19</f>
        <v>26.381758487796503</v>
      </c>
      <c r="S32" s="58"/>
      <c r="T32" s="60">
        <f>T25/$X$19</f>
        <v>27.57517014236376</v>
      </c>
    </row>
    <row r="33" spans="3:20" ht="12.75">
      <c r="C33" s="8"/>
      <c r="D33" s="9"/>
      <c r="E33" s="23"/>
      <c r="F33" s="13"/>
      <c r="G33" s="12"/>
      <c r="H33" s="13"/>
      <c r="I33" s="12"/>
      <c r="J33" s="13"/>
      <c r="M33" s="8"/>
      <c r="N33" s="9"/>
      <c r="O33" s="23"/>
      <c r="P33" s="15"/>
      <c r="Q33" s="14"/>
      <c r="R33" s="15"/>
      <c r="S33" s="14"/>
      <c r="T33" s="15"/>
    </row>
    <row r="35" spans="1:20" ht="12.75">
      <c r="A35" s="24" t="s">
        <v>14</v>
      </c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ht="12.75">
      <c r="H36" s="16"/>
    </row>
    <row r="37" spans="6:16" ht="12.75">
      <c r="F37" s="2" t="s">
        <v>6</v>
      </c>
      <c r="P37" s="2" t="s">
        <v>7</v>
      </c>
    </row>
    <row r="38" spans="6:20" ht="12.75">
      <c r="F38" s="30" t="s">
        <v>17</v>
      </c>
      <c r="G38" s="30"/>
      <c r="H38" s="30"/>
      <c r="I38" s="30"/>
      <c r="J38" s="30"/>
      <c r="P38" s="30" t="str">
        <f>F38</f>
        <v>Terminal Perpetuity Growth Rate</v>
      </c>
      <c r="Q38" s="30"/>
      <c r="R38" s="30"/>
      <c r="S38" s="30"/>
      <c r="T38" s="30"/>
    </row>
    <row r="39" spans="6:20" ht="12.75" customHeight="1">
      <c r="F39" s="70">
        <v>0.03</v>
      </c>
      <c r="G39" s="71"/>
      <c r="H39" s="72">
        <v>0.035</v>
      </c>
      <c r="I39" s="71"/>
      <c r="J39" s="70">
        <v>0.04</v>
      </c>
      <c r="P39" s="68">
        <f>F39</f>
        <v>0.03</v>
      </c>
      <c r="Q39" s="67"/>
      <c r="R39" s="68">
        <f>H39</f>
        <v>0.035</v>
      </c>
      <c r="S39" s="67"/>
      <c r="T39" s="68">
        <f>J39</f>
        <v>0.04</v>
      </c>
    </row>
    <row r="40" spans="3:20" ht="12.75" customHeight="1">
      <c r="C40" s="8" t="s">
        <v>9</v>
      </c>
      <c r="D40" s="4">
        <f>$D$23</f>
        <v>0.1</v>
      </c>
      <c r="E40" s="44"/>
      <c r="F40" s="11">
        <f>NPV($D40,$J$15:$P$15,$R$15+$R$15*(1+F$39)/($D40-F$39))</f>
        <v>1260.7572421020147</v>
      </c>
      <c r="G40" s="10"/>
      <c r="H40" s="11">
        <f>NPV($D40,$J$15:$P$15,$R$15+$R$15*(1+H$39)/($D40-H$39))</f>
        <v>1335.054125250003</v>
      </c>
      <c r="I40" s="10"/>
      <c r="J40" s="51">
        <f>NPV($D40,$J$15:$P$15,$R$15+$R$15*(1+J$39)/($D40-J$39))</f>
        <v>1421.7338222559895</v>
      </c>
      <c r="M40" s="8" t="s">
        <v>9</v>
      </c>
      <c r="N40" s="4">
        <f>$D$23</f>
        <v>0.1</v>
      </c>
      <c r="O40" s="44"/>
      <c r="P40" s="11">
        <f>F40-$X$18</f>
        <v>1177.3632421020147</v>
      </c>
      <c r="Q40" s="10"/>
      <c r="R40" s="11">
        <f>H40-$X$18</f>
        <v>1251.660125250003</v>
      </c>
      <c r="S40" s="10"/>
      <c r="T40" s="51">
        <f>J40-$X$18</f>
        <v>1338.3398222559895</v>
      </c>
    </row>
    <row r="41" spans="3:20" ht="12.75" customHeight="1">
      <c r="C41" s="8" t="s">
        <v>10</v>
      </c>
      <c r="D41" s="4">
        <f>$D$24</f>
        <v>0.11</v>
      </c>
      <c r="E41" s="44"/>
      <c r="F41" s="45">
        <f>NPV($D41,$J$15:$P$15,$R$15+$R$15*(1+F$39)/($D41-F$39))</f>
        <v>1103.635585387268</v>
      </c>
      <c r="G41" s="46"/>
      <c r="H41" s="45">
        <f>NPV($D41,$J$15:$P$15,$R$15+$R$15*(1+H$39)/($D41-H$39))</f>
        <v>1157.9743257433242</v>
      </c>
      <c r="I41" s="46"/>
      <c r="J41" s="52">
        <f>NPV($D41,$J$15:$P$15,$R$15+$R$15*(1+J$39)/($D41-J$39))</f>
        <v>1220.0757432931027</v>
      </c>
      <c r="M41" s="8" t="s">
        <v>10</v>
      </c>
      <c r="N41" s="4">
        <f>$D$24</f>
        <v>0.11</v>
      </c>
      <c r="O41" s="44"/>
      <c r="P41" s="45">
        <f>F41-$X$18</f>
        <v>1020.2415853872681</v>
      </c>
      <c r="Q41" s="46"/>
      <c r="R41" s="45">
        <f>H41-$X$18</f>
        <v>1074.5803257433242</v>
      </c>
      <c r="S41" s="46"/>
      <c r="T41" s="52">
        <f>J41-$X$18</f>
        <v>1136.6817432931027</v>
      </c>
    </row>
    <row r="42" spans="3:20" ht="12.75" customHeight="1">
      <c r="C42" s="8" t="s">
        <v>11</v>
      </c>
      <c r="D42" s="4">
        <f>$D$25</f>
        <v>0.12</v>
      </c>
      <c r="E42" s="44"/>
      <c r="F42" s="47">
        <f>NPV($D42,$J$15:$P$15,$R$15+$R$15*(1+F$39)/($D42-F$39))</f>
        <v>981.4165176321009</v>
      </c>
      <c r="G42" s="48"/>
      <c r="H42" s="47">
        <f>NPV($D42,$J$15:$P$15,$R$15+$R$15*(1+H$39)/($D42-H$39))</f>
        <v>1022.5333080639952</v>
      </c>
      <c r="I42" s="48"/>
      <c r="J42" s="57">
        <f>NPV($D42,$J$15:$P$15,$R$15+$R$15*(1+J$39)/($D42-J$39))</f>
        <v>1068.7896972998765</v>
      </c>
      <c r="M42" s="8" t="s">
        <v>11</v>
      </c>
      <c r="N42" s="4">
        <f>$D$25</f>
        <v>0.12</v>
      </c>
      <c r="O42" s="44"/>
      <c r="P42" s="47">
        <f>F42-$X$18</f>
        <v>898.0225176321009</v>
      </c>
      <c r="Q42" s="48"/>
      <c r="R42" s="47">
        <f>H42-$X$18</f>
        <v>939.1393080639951</v>
      </c>
      <c r="S42" s="48"/>
      <c r="T42" s="57">
        <f>J42-$X$18</f>
        <v>985.3956972998765</v>
      </c>
    </row>
    <row r="43" spans="5:16" ht="12.75" customHeight="1">
      <c r="E43" s="23"/>
      <c r="F43" s="23"/>
      <c r="O43" s="23"/>
      <c r="P43" s="23"/>
    </row>
    <row r="44" spans="6:16" ht="12.75" customHeight="1">
      <c r="F44" s="2" t="s">
        <v>18</v>
      </c>
      <c r="P44" s="2" t="s">
        <v>13</v>
      </c>
    </row>
    <row r="45" spans="6:20" ht="12.75" customHeight="1">
      <c r="F45" s="30" t="str">
        <f>F38</f>
        <v>Terminal Perpetuity Growth Rate</v>
      </c>
      <c r="G45" s="30"/>
      <c r="H45" s="30"/>
      <c r="I45" s="30"/>
      <c r="J45" s="30"/>
      <c r="P45" s="30" t="str">
        <f>F45</f>
        <v>Terminal Perpetuity Growth Rate</v>
      </c>
      <c r="Q45" s="30"/>
      <c r="R45" s="30"/>
      <c r="S45" s="30"/>
      <c r="T45" s="30"/>
    </row>
    <row r="46" spans="6:20" ht="12.75" customHeight="1">
      <c r="F46" s="68">
        <f>F39</f>
        <v>0.03</v>
      </c>
      <c r="G46" s="67"/>
      <c r="H46" s="68">
        <f>H39</f>
        <v>0.035</v>
      </c>
      <c r="I46" s="67"/>
      <c r="J46" s="68">
        <f>J39</f>
        <v>0.04</v>
      </c>
      <c r="P46" s="68">
        <f>P39</f>
        <v>0.03</v>
      </c>
      <c r="Q46" s="67"/>
      <c r="R46" s="68">
        <f>R39</f>
        <v>0.035</v>
      </c>
      <c r="S46" s="67"/>
      <c r="T46" s="68">
        <f>T39</f>
        <v>0.04</v>
      </c>
    </row>
    <row r="47" spans="3:20" ht="12.75" customHeight="1">
      <c r="C47" s="8" t="s">
        <v>9</v>
      </c>
      <c r="D47" s="4">
        <f>$D$23</f>
        <v>0.1</v>
      </c>
      <c r="E47" s="44"/>
      <c r="F47" s="18">
        <f>$R$15*(1+F$46)/($D47-F$46)/$R$6</f>
        <v>9.887361890778072</v>
      </c>
      <c r="G47" s="12"/>
      <c r="H47" s="18">
        <f>$R$15*(1+H$46)/($D47-H$46)/$R$6</f>
        <v>10.699617161865143</v>
      </c>
      <c r="I47" s="17"/>
      <c r="J47" s="55">
        <f>$R$15*(1+J$46)/($D47-J$46)/$R$6</f>
        <v>11.647248311466727</v>
      </c>
      <c r="M47" s="8" t="s">
        <v>9</v>
      </c>
      <c r="N47" s="4">
        <f>$D$23</f>
        <v>0.1</v>
      </c>
      <c r="O47" s="44"/>
      <c r="P47" s="15">
        <f>P40/$X$19</f>
        <v>33.61858067109957</v>
      </c>
      <c r="Q47" s="14"/>
      <c r="R47" s="15">
        <f>R40/$X$19</f>
        <v>35.74006337958172</v>
      </c>
      <c r="S47" s="14"/>
      <c r="T47" s="53">
        <f>T40/$X$19</f>
        <v>38.21512653947756</v>
      </c>
    </row>
    <row r="48" spans="3:20" ht="12.75" customHeight="1">
      <c r="C48" s="8" t="s">
        <v>10</v>
      </c>
      <c r="D48" s="4">
        <f>$D$24</f>
        <v>0.11</v>
      </c>
      <c r="E48" s="44"/>
      <c r="F48" s="18">
        <f>$R$15*(1+F$46)/($D48-F$46)/$R$6</f>
        <v>8.651441654430815</v>
      </c>
      <c r="G48" s="17"/>
      <c r="H48" s="18">
        <f>$R$15*(1+H$46)/($D48-H$46)/$R$6</f>
        <v>9.273001540283124</v>
      </c>
      <c r="I48" s="17"/>
      <c r="J48" s="56">
        <f>$R$15*(1+J$46)/($D48-J$46)/$R$6</f>
        <v>9.98335569554291</v>
      </c>
      <c r="M48" s="8" t="s">
        <v>10</v>
      </c>
      <c r="N48" s="4">
        <f>$D$24</f>
        <v>0.11</v>
      </c>
      <c r="O48" s="44"/>
      <c r="P48" s="49">
        <f>P41/$X$19</f>
        <v>29.132108779883662</v>
      </c>
      <c r="Q48" s="50"/>
      <c r="R48" s="49">
        <f>R41/$X$19</f>
        <v>30.683704125228854</v>
      </c>
      <c r="S48" s="50"/>
      <c r="T48" s="54">
        <f>T41/$X$19</f>
        <v>32.4569559484805</v>
      </c>
    </row>
    <row r="49" spans="3:20" ht="12.75" customHeight="1">
      <c r="C49" s="8" t="s">
        <v>11</v>
      </c>
      <c r="D49" s="4">
        <f>$D$25</f>
        <v>0.12</v>
      </c>
      <c r="E49" s="44"/>
      <c r="F49" s="32">
        <f>$R$15*(1+F$46)/($D49-F$46)/$R$6</f>
        <v>7.690170359494059</v>
      </c>
      <c r="G49" s="34"/>
      <c r="H49" s="32">
        <f>$R$15*(1+H$46)/($D49-H$46)/$R$6</f>
        <v>8.182060182602758</v>
      </c>
      <c r="I49" s="34"/>
      <c r="J49" s="61">
        <f>$R$15*(1+J$46)/($D49-J$46)/$R$6</f>
        <v>8.735436233600048</v>
      </c>
      <c r="M49" s="8" t="s">
        <v>11</v>
      </c>
      <c r="N49" s="4">
        <f>$D$25</f>
        <v>0.12</v>
      </c>
      <c r="O49" s="44"/>
      <c r="P49" s="59">
        <f>P42/$X$19</f>
        <v>25.642249879976156</v>
      </c>
      <c r="Q49" s="58"/>
      <c r="R49" s="59">
        <f>R42/$X$19</f>
        <v>26.816303975298048</v>
      </c>
      <c r="S49" s="58"/>
      <c r="T49" s="60">
        <f>T42/$X$19</f>
        <v>28.137114832535186</v>
      </c>
    </row>
    <row r="50" spans="5:16" ht="12.75" customHeight="1">
      <c r="E50" s="23"/>
      <c r="F50" s="23"/>
      <c r="O50" s="23"/>
      <c r="P50" s="23"/>
    </row>
    <row r="51" ht="12.75" customHeight="1">
      <c r="A51" s="1" t="str">
        <f>"(1)  Assumes net debt of "&amp;TEXT(X18,"$0.0")&amp;"mm as of 5/16/08."</f>
        <v>(1)  Assumes net debt of $83.4mm as of 5/16/08.</v>
      </c>
    </row>
    <row r="52" ht="12.75" customHeight="1">
      <c r="A52" s="1" t="str">
        <f>"(2)  Assumes outstanding diluted shares of "&amp;TEXT(X19,"0.000")&amp;" million."</f>
        <v>(2)  Assumes outstanding diluted shares of 35.021 million.</v>
      </c>
    </row>
  </sheetData>
  <sheetProtection/>
  <printOptions/>
  <pageMargins left="0.75" right="0.75" top="1" bottom="1" header="0.5" footer="0.5"/>
  <pageSetup horizontalDpi="300" verticalDpi="3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2008-08-10T01:05:42Z</dcterms:created>
  <dcterms:modified xsi:type="dcterms:W3CDTF">2020-10-02T00:38:13Z</dcterms:modified>
  <cp:category/>
  <cp:version/>
  <cp:contentType/>
  <cp:contentStatus/>
</cp:coreProperties>
</file>