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780" activeTab="0"/>
  </bookViews>
  <sheets>
    <sheet name="LBO" sheetId="1" r:id="rId1"/>
    <sheet name="Target P&amp;L" sheetId="2" r:id="rId2"/>
  </sheets>
  <definedNames>
    <definedName name="avg_int">'LBO'!$Q$29</definedName>
    <definedName name="curr_date">'LBO'!$Y$37</definedName>
    <definedName name="err_msg">'LBO'!#REF!</definedName>
    <definedName name="fin_case">'LBO'!$Q$42</definedName>
    <definedName name="fye">'LBO'!$Y$35</definedName>
    <definedName name="libor">'LBO'!$Q$26</definedName>
    <definedName name="ltm_date">'LBO'!$Y$36</definedName>
    <definedName name="ltm_ebitda">'LBO'!$M$60</definedName>
    <definedName name="min_cash">'LBO'!$Q$37</definedName>
    <definedName name="op_case">'LBO'!$Y$27</definedName>
    <definedName name="refi">'LBO'!$Q$33</definedName>
    <definedName name="revolver">'LBO'!$Q$38</definedName>
    <definedName name="stub">'LBO'!$Y$41</definedName>
    <definedName name="tgt">'LBO'!$AI$6</definedName>
    <definedName name="trans_price">'LBO'!$Y$8</definedName>
    <definedName name="treas">'LBO'!$Q$27</definedName>
  </definedNames>
  <calcPr calcMode="autoNoTable" fullCalcOnLoad="1" iterate="1" iterateCount="1000" iterateDelta="0.001"/>
</workbook>
</file>

<file path=xl/comments1.xml><?xml version="1.0" encoding="utf-8"?>
<comments xmlns="http://schemas.openxmlformats.org/spreadsheetml/2006/main">
  <authors>
    <author>Ryan MacGregor</author>
  </authors>
  <commentList>
    <comment ref="Y38" authorId="0">
      <text>
        <r>
          <rPr>
            <sz val="8"/>
            <color indexed="8"/>
            <rFont val="Tahoma"/>
            <family val="0"/>
          </rPr>
          <t>Closing date should be no more than 12 months from the last FYE or model will break.</t>
        </r>
      </text>
    </comment>
    <comment ref="Y40" authorId="0">
      <text>
        <r>
          <rPr>
            <sz val="8"/>
            <color indexed="8"/>
            <rFont val="Tahoma"/>
            <family val="0"/>
          </rPr>
          <t>This should never be less than zero.</t>
        </r>
      </text>
    </comment>
    <comment ref="A55" authorId="0">
      <text>
        <r>
          <rPr>
            <sz val="8"/>
            <color indexed="8"/>
            <rFont val="Tahoma"/>
            <family val="0"/>
          </rPr>
          <t>Does not include stock-based compensation expense.</t>
        </r>
      </text>
    </comment>
    <comment ref="S54" authorId="0">
      <text>
        <r>
          <rPr>
            <sz val="8"/>
            <rFont val="Tahoma"/>
            <family val="2"/>
          </rPr>
          <t>Assume synergies are not realized until Year 2.</t>
        </r>
      </text>
    </comment>
    <comment ref="S56" authorId="0">
      <text>
        <r>
          <rPr>
            <sz val="8"/>
            <rFont val="Tahoma"/>
            <family val="2"/>
          </rPr>
          <t>Assume synergies are not realized until Year 2.</t>
        </r>
      </text>
    </comment>
    <comment ref="AK48" authorId="0">
      <text>
        <r>
          <rPr>
            <sz val="8"/>
            <color indexed="8"/>
            <rFont val="Tahoma"/>
            <family val="0"/>
          </rPr>
          <t>Source:  10-Q dated 3/31/2008.</t>
        </r>
      </text>
    </comment>
    <comment ref="AM48" authorId="0">
      <text>
        <r>
          <rPr>
            <sz val="8"/>
            <color indexed="8"/>
            <rFont val="Tahoma"/>
            <family val="0"/>
          </rPr>
          <t>Source:  10-Q dated 3/31/2008.</t>
        </r>
      </text>
    </comment>
    <comment ref="B72" authorId="0">
      <text>
        <r>
          <rPr>
            <sz val="8"/>
            <color indexed="8"/>
            <rFont val="Tahoma"/>
            <family val="0"/>
          </rPr>
          <t>This DTA does not include NOLs.  Any NOLs are reflected in the long-term DTA below.</t>
        </r>
      </text>
    </comment>
    <comment ref="B96" authorId="0">
      <text>
        <r>
          <rPr>
            <sz val="8"/>
            <color indexed="8"/>
            <rFont val="Tahoma"/>
            <family val="0"/>
          </rPr>
          <t>Any DTAs related to NOLs are included here as a negative DTL.</t>
        </r>
      </text>
    </comment>
    <comment ref="AQ30" authorId="0">
      <text>
        <r>
          <rPr>
            <sz val="8"/>
            <color indexed="8"/>
            <rFont val="Tahoma"/>
            <family val="0"/>
          </rPr>
          <t>Includes current portion of long-term debt.</t>
        </r>
      </text>
    </comment>
    <comment ref="Q38" authorId="0">
      <text>
        <r>
          <rPr>
            <sz val="8"/>
            <color indexed="8"/>
            <rFont val="Tahoma"/>
            <family val="0"/>
          </rPr>
          <t>This is the size of the revolving credit facility to which the bank has committed.</t>
        </r>
      </text>
    </comment>
    <comment ref="U188" authorId="0">
      <text>
        <r>
          <rPr>
            <sz val="8"/>
            <rFont val="Tahoma"/>
            <family val="2"/>
          </rPr>
          <t>LTM EBITDA</t>
        </r>
      </text>
    </comment>
    <comment ref="B105" authorId="0">
      <text>
        <r>
          <rPr>
            <sz val="8"/>
            <color indexed="8"/>
            <rFont val="Tahoma"/>
            <family val="0"/>
          </rPr>
          <t>Under the new FAS 141r accounting rules, effective 12/15/2008, non-controlling interest now resides in the shareholders' equity section of the balance sheet.</t>
        </r>
      </text>
    </comment>
    <comment ref="K139" authorId="0">
      <text>
        <r>
          <rPr>
            <sz val="8"/>
            <color indexed="8"/>
            <rFont val="Tahoma"/>
            <family val="0"/>
          </rPr>
          <t>This is the year in which the debt (or majority of the debt) must be repaid.</t>
        </r>
      </text>
    </comment>
    <comment ref="M139" authorId="0">
      <text>
        <r>
          <rPr>
            <sz val="8"/>
            <color indexed="8"/>
            <rFont val="Tahoma"/>
            <family val="0"/>
          </rPr>
          <t>With some forms of junior debt and preferred stock, interest and dividend payments may be made "in-kind", meaning that rather than paying interest or dividends with cash, TargetCo may instead pay with additional amounts of debt or preferred stock, as applicable, that increase the face value of these securities.  Payment-in-kind ("PIK") is often structured so that TargetCo has the option to pay either cash or in-kind for the first few years, after which all interest payments and dividends must be paid in cash.  TargetCo will often elect to pay in-kind whenever possible to conserve cash.  Whether such payments are made in-kind or in cash, the interest expense or dividend payments appear in full on the income statement.  Any amounts paid in-kind are added back to net income on the cash flow statement since no cash was actually paid.  We assume here that any years PIK are measured from the date the deal closes.</t>
        </r>
      </text>
    </comment>
    <comment ref="G139" authorId="0">
      <text>
        <r>
          <rPr>
            <sz val="8"/>
            <rFont val="Tahoma"/>
            <family val="2"/>
          </rPr>
          <t>Percent amortization per year</t>
        </r>
      </text>
    </comment>
  </commentList>
</comments>
</file>

<file path=xl/sharedStrings.xml><?xml version="1.0" encoding="utf-8"?>
<sst xmlns="http://schemas.openxmlformats.org/spreadsheetml/2006/main" count="347" uniqueCount="258">
  <si>
    <t>($ in millions, except per share data)</t>
  </si>
  <si>
    <t>Valuation Summary</t>
  </si>
  <si>
    <t>Current Target Stock Price</t>
  </si>
  <si>
    <t>Offer Premium</t>
  </si>
  <si>
    <t>Offer Price Per Target Share</t>
  </si>
  <si>
    <t>Calendarization / Timing</t>
  </si>
  <si>
    <t>Last Fiscal Year End</t>
  </si>
  <si>
    <t>LTM End Date</t>
  </si>
  <si>
    <t>Current Date</t>
  </si>
  <si>
    <t>Expected Closing Date</t>
  </si>
  <si>
    <t>Months from Last FYE to LTM End</t>
  </si>
  <si>
    <t>Months from Closing to Next FYE</t>
  </si>
  <si>
    <t>Stub Allocation</t>
  </si>
  <si>
    <t>Model Detail</t>
  </si>
  <si>
    <t>Target Code Name</t>
  </si>
  <si>
    <t>TargetCo</t>
  </si>
  <si>
    <t>Model Created / Modified by:</t>
  </si>
  <si>
    <t>Last Modified:</t>
  </si>
  <si>
    <t>File Name:</t>
  </si>
  <si>
    <t>Chris P. Chicken</t>
  </si>
  <si>
    <t>212-555-1212</t>
  </si>
  <si>
    <t>CAGR</t>
  </si>
  <si>
    <t>Total Revenue</t>
  </si>
  <si>
    <t>% Growth</t>
  </si>
  <si>
    <t>NA</t>
  </si>
  <si>
    <t>COGS</t>
  </si>
  <si>
    <t>% of Sales</t>
  </si>
  <si>
    <t>Gross Profit</t>
  </si>
  <si>
    <t>% Margin</t>
  </si>
  <si>
    <t>SG&amp;A</t>
  </si>
  <si>
    <t>EBITDA</t>
  </si>
  <si>
    <t>Depreciation</t>
  </si>
  <si>
    <t>Amortization</t>
  </si>
  <si>
    <t>Total D&amp;A</t>
  </si>
  <si>
    <t>Stock-Based Comp</t>
  </si>
  <si>
    <t>EBIT</t>
  </si>
  <si>
    <t>EBITA</t>
  </si>
  <si>
    <t>Interest (Income) / Expense</t>
  </si>
  <si>
    <t>Equity (Income)</t>
  </si>
  <si>
    <t>Minority Interest</t>
  </si>
  <si>
    <t>Other (Income) / Expense</t>
  </si>
  <si>
    <t>Income Before Taxes</t>
  </si>
  <si>
    <t>Provision for Tax</t>
  </si>
  <si>
    <t>% Tax Rate</t>
  </si>
  <si>
    <t>Cash Net Income</t>
  </si>
  <si>
    <t>Cash Diluted EPS</t>
  </si>
  <si>
    <t>Diluted Shares Out</t>
  </si>
  <si>
    <t>Cash to GAAP Reconciliation:</t>
  </si>
  <si>
    <t>One-Time Charges</t>
  </si>
  <si>
    <t>GAAP Net Income</t>
  </si>
  <si>
    <t>GAAP Diluted EPS</t>
  </si>
  <si>
    <t>Capex</t>
  </si>
  <si>
    <t>Operating Assumptions</t>
  </si>
  <si>
    <t>Revenue Growth</t>
  </si>
  <si>
    <t>Management Case</t>
  </si>
  <si>
    <t>Analyst Case</t>
  </si>
  <si>
    <t>Downside Case</t>
  </si>
  <si>
    <t>COGS (% of Sales)</t>
  </si>
  <si>
    <t>SG&amp;A (% of Sales)</t>
  </si>
  <si>
    <t>Other (% of Sales)</t>
  </si>
  <si>
    <t>Operating Performance Drivers</t>
  </si>
  <si>
    <t>COGS Savings</t>
  </si>
  <si>
    <t>SG&amp;A Savings</t>
  </si>
  <si>
    <t>Total Savings</t>
  </si>
  <si>
    <t>Income Statement</t>
  </si>
  <si>
    <t>Net Sales</t>
  </si>
  <si>
    <t>Other</t>
  </si>
  <si>
    <t>LTM Inputs</t>
  </si>
  <si>
    <t>Ended</t>
  </si>
  <si>
    <t>LTM</t>
  </si>
  <si>
    <t>Balance Sheet</t>
  </si>
  <si>
    <t>Historical</t>
  </si>
  <si>
    <t>Adjustments</t>
  </si>
  <si>
    <t>Pro Forma</t>
  </si>
  <si>
    <t>GAAP/</t>
  </si>
  <si>
    <t>Closing</t>
  </si>
  <si>
    <t>Financing</t>
  </si>
  <si>
    <t>Assets</t>
  </si>
  <si>
    <t>Cash &amp; Equivalents</t>
  </si>
  <si>
    <t>Accounts Receivable</t>
  </si>
  <si>
    <t>Inventories</t>
  </si>
  <si>
    <t>Deferred Income Taxes</t>
  </si>
  <si>
    <t>Prepaid Expenses &amp; Other</t>
  </si>
  <si>
    <t>Total Current Assets</t>
  </si>
  <si>
    <t>PP&amp;E, gross</t>
  </si>
  <si>
    <t>(Accumluated Depreciation)</t>
  </si>
  <si>
    <t>PP&amp;E, net</t>
  </si>
  <si>
    <t>Equity Investments</t>
  </si>
  <si>
    <t>Capitalized Financing Costs</t>
  </si>
  <si>
    <t>Goodwill, net</t>
  </si>
  <si>
    <t>Intangible Assets, net</t>
  </si>
  <si>
    <t>Operating Rights, net</t>
  </si>
  <si>
    <t>Other Long-Term Assets</t>
  </si>
  <si>
    <t>Total Assets</t>
  </si>
  <si>
    <t>Liabilities</t>
  </si>
  <si>
    <t>Short-Term Debt</t>
  </si>
  <si>
    <t>Accounts Payable</t>
  </si>
  <si>
    <t>Accrued Liabilities</t>
  </si>
  <si>
    <t>Client Deposits</t>
  </si>
  <si>
    <t>Other Current Liabilities</t>
  </si>
  <si>
    <t>Total Current Liabilities</t>
  </si>
  <si>
    <t>Capital Leases</t>
  </si>
  <si>
    <t>Other Long-Term Liabilities</t>
  </si>
  <si>
    <t>Existing LT Debt (excl. current portion)</t>
  </si>
  <si>
    <t>Total Liabilities</t>
  </si>
  <si>
    <t>Shareholders' Equity</t>
  </si>
  <si>
    <t>Existing Shareholders' Equity</t>
  </si>
  <si>
    <t>Additional Paid-In Capital</t>
  </si>
  <si>
    <t>Retained Earnings</t>
  </si>
  <si>
    <t>Total Shareholders' Equity</t>
  </si>
  <si>
    <t>Liabilities &amp; S/H Equity</t>
  </si>
  <si>
    <t>Check</t>
  </si>
  <si>
    <t>Options</t>
  </si>
  <si>
    <t>Number of</t>
  </si>
  <si>
    <t>Average</t>
  </si>
  <si>
    <t>Treasury</t>
  </si>
  <si>
    <t>Options (m)</t>
  </si>
  <si>
    <t>Strike</t>
  </si>
  <si>
    <t>Shares</t>
  </si>
  <si>
    <t>Tranche 1</t>
  </si>
  <si>
    <t>Tranche 2</t>
  </si>
  <si>
    <t>Tranche 3</t>
  </si>
  <si>
    <t>Tranche 4</t>
  </si>
  <si>
    <t>Tranche 5</t>
  </si>
  <si>
    <t>Tranche 6</t>
  </si>
  <si>
    <t>Tranche 7</t>
  </si>
  <si>
    <t>Tranche 8</t>
  </si>
  <si>
    <t>Tranche 9</t>
  </si>
  <si>
    <t>Tranche 10</t>
  </si>
  <si>
    <t>Convertible Debt</t>
  </si>
  <si>
    <t>Convert 1</t>
  </si>
  <si>
    <t>Convert 2</t>
  </si>
  <si>
    <t>Face Value</t>
  </si>
  <si>
    <t>Conversion Price</t>
  </si>
  <si>
    <t>Convertible Shares</t>
  </si>
  <si>
    <t>Interest Rate</t>
  </si>
  <si>
    <t>Fully Diluted Shares Outstanding</t>
  </si>
  <si>
    <t>Basic Shares Outstanding</t>
  </si>
  <si>
    <t>Treasury Method Shares</t>
  </si>
  <si>
    <t>In-the-Money Convertible Shares</t>
  </si>
  <si>
    <t>Net Debt</t>
  </si>
  <si>
    <t>Non-Convertible Debt</t>
  </si>
  <si>
    <t>Cash &amp; Cash Equivalents</t>
  </si>
  <si>
    <t>Fully Diluted Shares Outstanding (mm)</t>
  </si>
  <si>
    <t>Equity Purchase Price</t>
  </si>
  <si>
    <t>Target Pro Forma Net Debt</t>
  </si>
  <si>
    <t>Pro Forma Enterprise Value</t>
  </si>
  <si>
    <t>Pro Forma Enterprise Value Multiples</t>
  </si>
  <si>
    <t>Metric</t>
  </si>
  <si>
    <t>Multiple</t>
  </si>
  <si>
    <t>LTM Sales</t>
  </si>
  <si>
    <t>LTM EBITDA</t>
  </si>
  <si>
    <t>Current Interest Rates</t>
  </si>
  <si>
    <t>3-Month LIBOR</t>
  </si>
  <si>
    <t>10-Year Treasury</t>
  </si>
  <si>
    <t>Interest on Excess Cash</t>
  </si>
  <si>
    <t>Refinance Target Debt</t>
  </si>
  <si>
    <t>Refinance?</t>
  </si>
  <si>
    <t>Minimum Cash / Revolver</t>
  </si>
  <si>
    <t>Minimum Cash Balance</t>
  </si>
  <si>
    <t>Total Bank Commitment</t>
  </si>
  <si>
    <t>Scenario</t>
  </si>
  <si>
    <t>Financing Case</t>
  </si>
  <si>
    <t>Transaction Fees &amp; Expenses Assumptions</t>
  </si>
  <si>
    <t>Fees (%)</t>
  </si>
  <si>
    <t>Computation Metric</t>
  </si>
  <si>
    <t>Fees ($)</t>
  </si>
  <si>
    <t>Notes / Assumptions</t>
  </si>
  <si>
    <t>M&amp;A / Sponsor Fees</t>
  </si>
  <si>
    <t>Bank Fee</t>
  </si>
  <si>
    <t>Expensed as incurred (in current period) in accordance with FAS 141r</t>
  </si>
  <si>
    <t>Sponsor Fee</t>
  </si>
  <si>
    <t>Financing Fees</t>
  </si>
  <si>
    <t>of Total Facility Size (Commitment):</t>
  </si>
  <si>
    <t>Capitalized / amortized over life of financing</t>
  </si>
  <si>
    <t>of Total Principal Amount:</t>
  </si>
  <si>
    <t>Reduction in Gross Proceeds.  Reduction in APIC.</t>
  </si>
  <si>
    <t>Other Miscellaneous Fees</t>
  </si>
  <si>
    <t>Legal</t>
  </si>
  <si>
    <t>Accounting</t>
  </si>
  <si>
    <t>Printing</t>
  </si>
  <si>
    <t>Target's Expenses</t>
  </si>
  <si>
    <t>Revolver</t>
  </si>
  <si>
    <t>Term Loan - A</t>
  </si>
  <si>
    <t>Term Loan - B</t>
  </si>
  <si>
    <t>Senior Note</t>
  </si>
  <si>
    <t>Subordinated Note</t>
  </si>
  <si>
    <t>Mezzanine</t>
  </si>
  <si>
    <t>Seller Note</t>
  </si>
  <si>
    <t>Preferred Stock - A</t>
  </si>
  <si>
    <t>Preferred Stock - B</t>
  </si>
  <si>
    <t>of Transaction Value (excl. Fees &amp; Expenses):</t>
  </si>
  <si>
    <t>Capital Structure Assumptions</t>
  </si>
  <si>
    <t>Active</t>
  </si>
  <si>
    <t>Financing Scenarios</t>
  </si>
  <si>
    <t>Case</t>
  </si>
  <si>
    <t>Description</t>
  </si>
  <si>
    <t>No deal</t>
  </si>
  <si>
    <t>Refi A</t>
  </si>
  <si>
    <t>Refi B</t>
  </si>
  <si>
    <t>LBO A</t>
  </si>
  <si>
    <t>LBO B</t>
  </si>
  <si>
    <t>LBO C</t>
  </si>
  <si>
    <t>Mult. of</t>
  </si>
  <si>
    <t>Percent</t>
  </si>
  <si>
    <t>of Total</t>
  </si>
  <si>
    <t>Sources of Funds</t>
  </si>
  <si>
    <t>Total Sources</t>
  </si>
  <si>
    <t>Excess Cash</t>
  </si>
  <si>
    <t>Debt Assumed</t>
  </si>
  <si>
    <t>Common - Sponsor</t>
  </si>
  <si>
    <t>Management Rollover</t>
  </si>
  <si>
    <t>Investor Rollover</t>
  </si>
  <si>
    <t>Uses of Funds</t>
  </si>
  <si>
    <t>Refinance Debt</t>
  </si>
  <si>
    <t>Tender / Call Premium</t>
  </si>
  <si>
    <t>Expensed Transaction Costs</t>
  </si>
  <si>
    <t>Total Uses</t>
  </si>
  <si>
    <t>LBO?</t>
  </si>
  <si>
    <t>Existing Shareholders</t>
  </si>
  <si>
    <t>Fund Cash Balance</t>
  </si>
  <si>
    <t>Assume Debt</t>
  </si>
  <si>
    <t>Noncontrolling (Minority) Interest</t>
  </si>
  <si>
    <t>Assume Noncontrolling Interest</t>
  </si>
  <si>
    <t>Purchase Noncontrolling Interest</t>
  </si>
  <si>
    <t>Noncontrolling Interest Assumed</t>
  </si>
  <si>
    <t>Sources &amp; Uses of Funds</t>
  </si>
  <si>
    <t>% of</t>
  </si>
  <si>
    <t>Interest</t>
  </si>
  <si>
    <t>$ mm</t>
  </si>
  <si>
    <t>Total</t>
  </si>
  <si>
    <t>Rate</t>
  </si>
  <si>
    <t>Spread</t>
  </si>
  <si>
    <t>Years</t>
  </si>
  <si>
    <t>PIK</t>
  </si>
  <si>
    <t>Debt</t>
  </si>
  <si>
    <t>Preferred</t>
  </si>
  <si>
    <t>Equity</t>
  </si>
  <si>
    <t>Other Uses</t>
  </si>
  <si>
    <t>Fees &amp; Expenses</t>
  </si>
  <si>
    <t>Assume Noncontrolling Int.</t>
  </si>
  <si>
    <t>Purchase Noncontrolling Int.</t>
  </si>
  <si>
    <t>Ending</t>
  </si>
  <si>
    <t>Debt Schedule</t>
  </si>
  <si>
    <t>LIBOR Curve</t>
  </si>
  <si>
    <t>Interest Rate Assumptions</t>
  </si>
  <si>
    <t>Assumed Debt</t>
  </si>
  <si>
    <t>Revolver Undrawn Commitment Fee</t>
  </si>
  <si>
    <t>LIBOR +</t>
  </si>
  <si>
    <t>Average Interest?</t>
  </si>
  <si>
    <t>Debt Amortization Schedule</t>
  </si>
  <si>
    <t>Beginning</t>
  </si>
  <si>
    <t>Scheduled</t>
  </si>
  <si>
    <t>Balance</t>
  </si>
  <si>
    <t>Amort.</t>
  </si>
  <si>
    <t>Prepay?</t>
  </si>
  <si>
    <t>Bullet Year</t>
  </si>
  <si>
    <t>Years PIK</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</si>
</sst>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0.0%_);@_)"/>
    <numFmt numFmtId="165" formatCode="0000\P"/>
    <numFmt numFmtId="166" formatCode="0.00%_);\(0.00%\);0.00%_);@_)"/>
    <numFmt numFmtId="167" formatCode="&quot;$&quot;#,##0.00_);\(&quot;$&quot;#,##0.00\);&quot;$&quot;#,##0.00_);@_)"/>
    <numFmt numFmtId="168" formatCode="&quot;$&quot;#,##0.0_);\(&quot;$&quot;#,##0.0\);&quot;$&quot;#,##0.0_);@_)"/>
    <numFmt numFmtId="169" formatCode="0.00\x_);\(0.00\x\);0.00\x_);@_)"/>
    <numFmt numFmtId="170" formatCode="#,##0.0_);\(#,##0.0\);#,##0.0_);@_)"/>
    <numFmt numFmtId="171" formatCode="#,##0.000_);\(#,##0.000\)"/>
    <numFmt numFmtId="172" formatCode="0.0%"/>
    <numFmt numFmtId="173" formatCode="&quot;L + &quot;0_)"/>
    <numFmt numFmtId="174" formatCode="#,##0.0_);\(#,##0.0\)"/>
    <numFmt numFmtId="175" formatCode="0.0\x_);\(0.0\x\);0.0\x_);@_)"/>
    <numFmt numFmtId="176" formatCode="&quot;yes&quot;;&quot;ERROR&quot;;&quot;no&quot;;&quot;ERROR&quot;"/>
    <numFmt numFmtId="177" formatCode="&quot;$&quot;#,##0.0_);\(&quot;$&quot;#,##0.0\)"/>
    <numFmt numFmtId="178" formatCode="&quot;Year &quot;0"/>
    <numFmt numFmtId="179" formatCode="#,##0.000_);\(#,##0.000\);#,##0.000_);@_)"/>
    <numFmt numFmtId="180" formatCode="#,##0.00_);\(#,##0.00\);#,##0.00_);@_)"/>
    <numFmt numFmtId="181" formatCode="0000\A"/>
    <numFmt numFmtId="182" formatCode="0000&quot;E&quot;"/>
    <numFmt numFmtId="183" formatCode="#,##0.0"/>
    <numFmt numFmtId="184" formatCode="#,##0.000000000000000"/>
    <numFmt numFmtId="185" formatCode="m/d/yyyy;@"/>
    <numFmt numFmtId="186" formatCode="&quot;Case &quot;0"/>
    <numFmt numFmtId="187" formatCode="0.000"/>
    <numFmt numFmtId="188" formatCode="0_*&quot;months&quot;"/>
  </numFmts>
  <fonts count="28">
    <font>
      <sz val="10"/>
      <name val="Arial"/>
      <family val="0"/>
    </font>
    <font>
      <sz val="18"/>
      <color indexed="8"/>
      <name val="Arial"/>
      <family val="2"/>
    </font>
    <font>
      <i/>
      <sz val="9"/>
      <name val="Arial"/>
      <family val="2"/>
    </font>
    <font>
      <b/>
      <sz val="10"/>
      <color indexed="9"/>
      <name val="Arial"/>
      <family val="2"/>
    </font>
    <font>
      <b/>
      <sz val="10"/>
      <name val="Arial"/>
      <family val="2"/>
    </font>
    <font>
      <sz val="10"/>
      <color indexed="12"/>
      <name val="Arial"/>
      <family val="0"/>
    </font>
    <font>
      <i/>
      <sz val="10"/>
      <name val="Arial"/>
      <family val="2"/>
    </font>
    <font>
      <i/>
      <sz val="10"/>
      <color indexed="12"/>
      <name val="Arial"/>
      <family val="2"/>
    </font>
    <font>
      <u val="single"/>
      <sz val="8"/>
      <color indexed="12"/>
      <name val="Arial"/>
      <family val="0"/>
    </font>
    <font>
      <sz val="10"/>
      <name val="MS Sans Serif"/>
      <family val="0"/>
    </font>
    <font>
      <sz val="8"/>
      <color indexed="8"/>
      <name val="Tahoma"/>
      <family val="0"/>
    </font>
    <font>
      <sz val="8"/>
      <name val="Arial"/>
      <family val="0"/>
    </font>
    <font>
      <i/>
      <sz val="16"/>
      <color indexed="8"/>
      <name val="Arial"/>
      <family val="2"/>
    </font>
    <font>
      <b/>
      <sz val="10"/>
      <color indexed="12"/>
      <name val="Arial"/>
      <family val="2"/>
    </font>
    <font>
      <b/>
      <sz val="10"/>
      <color indexed="8"/>
      <name val="Arial"/>
      <family val="2"/>
    </font>
    <font>
      <i/>
      <sz val="10"/>
      <color indexed="8"/>
      <name val="Arial"/>
      <family val="2"/>
    </font>
    <font>
      <i/>
      <sz val="8"/>
      <name val="Arial"/>
      <family val="2"/>
    </font>
    <font>
      <sz val="10"/>
      <color indexed="8"/>
      <name val="Arial"/>
      <family val="0"/>
    </font>
    <font>
      <sz val="10"/>
      <color indexed="10"/>
      <name val="Arial"/>
      <family val="0"/>
    </font>
    <font>
      <b/>
      <u val="single"/>
      <sz val="10"/>
      <name val="Arial"/>
      <family val="2"/>
    </font>
    <font>
      <i/>
      <sz val="10"/>
      <color indexed="17"/>
      <name val="Arial"/>
      <family val="2"/>
    </font>
    <font>
      <b/>
      <sz val="10"/>
      <color indexed="17"/>
      <name val="Arial"/>
      <family val="2"/>
    </font>
    <font>
      <b/>
      <i/>
      <sz val="10"/>
      <name val="Arial"/>
      <family val="2"/>
    </font>
    <font>
      <sz val="8"/>
      <name val="Tahoma"/>
      <family val="2"/>
    </font>
    <font>
      <sz val="10"/>
      <color indexed="17"/>
      <name val="Arial"/>
      <family val="0"/>
    </font>
    <font>
      <sz val="10"/>
      <color indexed="9"/>
      <name val="Arial"/>
      <family val="2"/>
    </font>
    <font>
      <b/>
      <i/>
      <sz val="10"/>
      <color indexed="8"/>
      <name val="Arial"/>
      <family val="2"/>
    </font>
    <font>
      <b/>
      <sz val="8"/>
      <name val="Arial"/>
      <family val="2"/>
    </font>
  </fonts>
  <fills count="3">
    <fill>
      <patternFill/>
    </fill>
    <fill>
      <patternFill patternType="gray125"/>
    </fill>
    <fill>
      <patternFill patternType="solid">
        <fgColor indexed="8"/>
        <bgColor indexed="64"/>
      </patternFill>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22"/>
      </top>
      <bottom style="double">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71">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0" xfId="0" applyFont="1" applyAlignment="1">
      <alignment/>
    </xf>
    <xf numFmtId="0" fontId="3" fillId="2" borderId="0" xfId="0" applyFont="1" applyFill="1" applyAlignment="1">
      <alignment horizontal="centerContinuous"/>
    </xf>
    <xf numFmtId="0" fontId="0" fillId="0" borderId="0" xfId="0" applyNumberFormat="1" applyFont="1" applyFill="1" applyBorder="1" applyAlignment="1" applyProtection="1">
      <alignment/>
      <protection/>
    </xf>
    <xf numFmtId="0" fontId="0" fillId="0" borderId="0" xfId="0" applyBorder="1" applyAlignment="1">
      <alignment/>
    </xf>
    <xf numFmtId="167" fontId="5" fillId="0" borderId="0" xfId="0" applyNumberFormat="1" applyFont="1" applyAlignment="1">
      <alignment/>
    </xf>
    <xf numFmtId="0" fontId="0" fillId="0" borderId="0" xfId="0" applyFill="1" applyBorder="1" applyAlignment="1">
      <alignment/>
    </xf>
    <xf numFmtId="164" fontId="7" fillId="0" borderId="0" xfId="0" applyNumberFormat="1" applyFont="1" applyBorder="1" applyAlignment="1">
      <alignment/>
    </xf>
    <xf numFmtId="0" fontId="4" fillId="0" borderId="0" xfId="0" applyFont="1" applyAlignment="1">
      <alignment/>
    </xf>
    <xf numFmtId="167" fontId="0" fillId="0" borderId="0" xfId="0" applyNumberFormat="1" applyFont="1" applyAlignment="1">
      <alignment/>
    </xf>
    <xf numFmtId="164" fontId="6" fillId="0" borderId="0" xfId="0" applyNumberFormat="1" applyFont="1" applyBorder="1" applyAlignment="1">
      <alignment/>
    </xf>
    <xf numFmtId="14" fontId="5" fillId="0" borderId="0" xfId="0" applyNumberFormat="1" applyFont="1" applyAlignment="1">
      <alignment/>
    </xf>
    <xf numFmtId="37" fontId="0" fillId="0" borderId="0" xfId="0" applyNumberFormat="1" applyFont="1" applyAlignment="1">
      <alignment/>
    </xf>
    <xf numFmtId="0" fontId="5" fillId="0" borderId="0" xfId="0" applyFont="1" applyAlignment="1">
      <alignment horizontal="right"/>
    </xf>
    <xf numFmtId="14" fontId="0" fillId="0" borderId="0" xfId="0" applyNumberFormat="1" applyFont="1" applyAlignment="1">
      <alignment/>
    </xf>
    <xf numFmtId="18" fontId="0" fillId="0" borderId="0" xfId="20" applyNumberFormat="1" applyFont="1" applyAlignment="1">
      <alignment horizontal="right"/>
      <protection/>
    </xf>
    <xf numFmtId="0" fontId="12" fillId="0" borderId="1" xfId="0" applyFont="1" applyBorder="1" applyAlignment="1">
      <alignment/>
    </xf>
    <xf numFmtId="0" fontId="6" fillId="0" borderId="0" xfId="0" applyFont="1" applyAlignment="1">
      <alignment/>
    </xf>
    <xf numFmtId="0" fontId="4" fillId="0" borderId="2" xfId="0" applyFont="1" applyBorder="1" applyAlignment="1">
      <alignment horizontal="centerContinuous"/>
    </xf>
    <xf numFmtId="0" fontId="0" fillId="0" borderId="2" xfId="0" applyBorder="1" applyAlignment="1">
      <alignment horizontal="centerContinuous"/>
    </xf>
    <xf numFmtId="0" fontId="4" fillId="0" borderId="0" xfId="0" applyFont="1" applyAlignment="1">
      <alignment horizontal="center"/>
    </xf>
    <xf numFmtId="181" fontId="4" fillId="0" borderId="2" xfId="0" applyNumberFormat="1" applyFont="1" applyBorder="1" applyAlignment="1">
      <alignment horizontal="center"/>
    </xf>
    <xf numFmtId="0" fontId="0" fillId="0" borderId="0" xfId="0" applyFont="1" applyAlignment="1">
      <alignment/>
    </xf>
    <xf numFmtId="181" fontId="13" fillId="0" borderId="2" xfId="0" applyNumberFormat="1" applyFont="1" applyBorder="1" applyAlignment="1">
      <alignment horizontal="center"/>
    </xf>
    <xf numFmtId="165" fontId="14" fillId="0" borderId="2" xfId="0" applyNumberFormat="1" applyFont="1" applyBorder="1" applyAlignment="1">
      <alignment horizontal="center"/>
    </xf>
    <xf numFmtId="165" fontId="14" fillId="0" borderId="0" xfId="0" applyNumberFormat="1" applyFont="1" applyBorder="1" applyAlignment="1">
      <alignment horizontal="center"/>
    </xf>
    <xf numFmtId="182" fontId="14" fillId="0" borderId="2" xfId="0" applyNumberFormat="1" applyFont="1" applyBorder="1" applyAlignment="1">
      <alignment horizontal="center"/>
    </xf>
    <xf numFmtId="14" fontId="4" fillId="0" borderId="2" xfId="0" applyNumberFormat="1" applyFont="1" applyBorder="1" applyAlignment="1">
      <alignment horizontal="center"/>
    </xf>
    <xf numFmtId="168" fontId="4" fillId="0" borderId="0" xfId="0" applyNumberFormat="1" applyFont="1" applyAlignment="1">
      <alignment/>
    </xf>
    <xf numFmtId="168" fontId="13" fillId="0" borderId="0" xfId="0" applyNumberFormat="1" applyFont="1" applyAlignment="1">
      <alignment/>
    </xf>
    <xf numFmtId="168" fontId="14" fillId="0" borderId="0" xfId="0" applyNumberFormat="1" applyFont="1" applyAlignment="1">
      <alignment/>
    </xf>
    <xf numFmtId="164" fontId="15" fillId="0" borderId="0" xfId="0" applyNumberFormat="1" applyFont="1" applyAlignment="1">
      <alignment/>
    </xf>
    <xf numFmtId="0" fontId="6" fillId="0" borderId="0" xfId="0" applyFont="1" applyAlignment="1">
      <alignment horizontal="right"/>
    </xf>
    <xf numFmtId="164" fontId="7" fillId="0" borderId="0" xfId="0" applyNumberFormat="1" applyFont="1" applyAlignment="1">
      <alignment/>
    </xf>
    <xf numFmtId="0" fontId="16" fillId="0" borderId="0" xfId="0" applyFont="1" applyAlignment="1">
      <alignment/>
    </xf>
    <xf numFmtId="170" fontId="0" fillId="0" borderId="0" xfId="0" applyNumberFormat="1" applyAlignment="1">
      <alignment/>
    </xf>
    <xf numFmtId="170" fontId="5" fillId="0" borderId="0" xfId="0" applyNumberFormat="1" applyFont="1" applyAlignment="1">
      <alignment/>
    </xf>
    <xf numFmtId="170" fontId="17" fillId="0" borderId="0" xfId="0" applyNumberFormat="1" applyFont="1" applyAlignment="1">
      <alignment/>
    </xf>
    <xf numFmtId="164" fontId="15" fillId="0" borderId="0" xfId="0" applyNumberFormat="1" applyFont="1" applyAlignment="1">
      <alignment horizontal="right"/>
    </xf>
    <xf numFmtId="164" fontId="7" fillId="0" borderId="0" xfId="0" applyNumberFormat="1" applyFont="1" applyAlignment="1">
      <alignment horizontal="right"/>
    </xf>
    <xf numFmtId="168" fontId="17" fillId="0" borderId="3" xfId="0" applyNumberFormat="1" applyFont="1" applyBorder="1" applyAlignment="1">
      <alignment/>
    </xf>
    <xf numFmtId="170" fontId="5" fillId="0" borderId="0" xfId="0" applyNumberFormat="1" applyFont="1" applyFill="1" applyBorder="1" applyAlignment="1">
      <alignment/>
    </xf>
    <xf numFmtId="0" fontId="0" fillId="0" borderId="4" xfId="0" applyBorder="1" applyAlignment="1">
      <alignment/>
    </xf>
    <xf numFmtId="0" fontId="0" fillId="0" borderId="5" xfId="0" applyBorder="1" applyAlignment="1">
      <alignment/>
    </xf>
    <xf numFmtId="0" fontId="4" fillId="0" borderId="0" xfId="0" applyFont="1" applyBorder="1" applyAlignment="1">
      <alignment/>
    </xf>
    <xf numFmtId="168" fontId="14" fillId="0" borderId="0" xfId="0" applyNumberFormat="1" applyFont="1" applyBorder="1" applyAlignment="1">
      <alignment/>
    </xf>
    <xf numFmtId="0" fontId="4" fillId="0" borderId="6" xfId="0" applyFont="1" applyBorder="1" applyAlignment="1">
      <alignment/>
    </xf>
    <xf numFmtId="0" fontId="6" fillId="0" borderId="0" xfId="0" applyFont="1" applyBorder="1" applyAlignment="1">
      <alignment/>
    </xf>
    <xf numFmtId="164" fontId="15" fillId="0" borderId="0" xfId="0" applyNumberFormat="1" applyFont="1" applyBorder="1" applyAlignment="1">
      <alignment horizontal="right"/>
    </xf>
    <xf numFmtId="0" fontId="6" fillId="0" borderId="6" xfId="0" applyFont="1" applyBorder="1" applyAlignment="1">
      <alignment/>
    </xf>
    <xf numFmtId="0" fontId="0" fillId="0" borderId="6" xfId="0" applyBorder="1" applyAlignment="1">
      <alignment/>
    </xf>
    <xf numFmtId="170" fontId="0" fillId="0" borderId="0" xfId="0" applyNumberFormat="1" applyBorder="1" applyAlignment="1">
      <alignment/>
    </xf>
    <xf numFmtId="170" fontId="5" fillId="0" borderId="0" xfId="0" applyNumberFormat="1" applyFont="1" applyBorder="1" applyAlignment="1">
      <alignment/>
    </xf>
    <xf numFmtId="170" fontId="17" fillId="0" borderId="0" xfId="0" applyNumberFormat="1" applyFont="1" applyBorder="1" applyAlignment="1">
      <alignment/>
    </xf>
    <xf numFmtId="170" fontId="0" fillId="0" borderId="6" xfId="0" applyNumberFormat="1" applyBorder="1" applyAlignment="1">
      <alignment/>
    </xf>
    <xf numFmtId="164" fontId="7" fillId="0" borderId="0"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0" fontId="0" fillId="0" borderId="0" xfId="0" applyNumberFormat="1" applyFont="1" applyFill="1" applyBorder="1" applyAlignment="1">
      <alignment/>
    </xf>
    <xf numFmtId="43" fontId="5" fillId="0" borderId="0" xfId="15" applyFont="1" applyAlignment="1">
      <alignment/>
    </xf>
    <xf numFmtId="43" fontId="17" fillId="0" borderId="0" xfId="15" applyFont="1" applyAlignment="1">
      <alignment/>
    </xf>
    <xf numFmtId="43" fontId="0" fillId="0" borderId="0" xfId="15" applyNumberFormat="1" applyAlignment="1">
      <alignment/>
    </xf>
    <xf numFmtId="170" fontId="5" fillId="0" borderId="0" xfId="15" applyNumberFormat="1" applyFont="1" applyAlignment="1">
      <alignment/>
    </xf>
    <xf numFmtId="43" fontId="0" fillId="0" borderId="0" xfId="15" applyFont="1" applyFill="1" applyBorder="1" applyAlignment="1" applyProtection="1">
      <alignment/>
      <protection/>
    </xf>
    <xf numFmtId="168" fontId="17" fillId="0" borderId="0" xfId="0" applyNumberFormat="1" applyFont="1" applyBorder="1" applyAlignment="1">
      <alignment/>
    </xf>
    <xf numFmtId="164" fontId="6" fillId="0" borderId="0" xfId="0" applyNumberFormat="1" applyFont="1" applyAlignment="1">
      <alignment/>
    </xf>
    <xf numFmtId="0" fontId="4" fillId="0" borderId="9" xfId="0" applyFont="1" applyBorder="1" applyAlignment="1">
      <alignment/>
    </xf>
    <xf numFmtId="167" fontId="14" fillId="0" borderId="9" xfId="0" applyNumberFormat="1" applyFont="1" applyBorder="1" applyAlignment="1">
      <alignment/>
    </xf>
    <xf numFmtId="0" fontId="4" fillId="0" borderId="10" xfId="0" applyFont="1" applyBorder="1" applyAlignment="1">
      <alignment/>
    </xf>
    <xf numFmtId="179" fontId="5" fillId="0" borderId="0" xfId="0" applyNumberFormat="1" applyFont="1" applyAlignment="1">
      <alignment/>
    </xf>
    <xf numFmtId="179" fontId="18" fillId="0" borderId="0" xfId="0" applyNumberFormat="1" applyFont="1" applyAlignment="1">
      <alignment/>
    </xf>
    <xf numFmtId="179" fontId="0" fillId="0" borderId="0" xfId="0" applyNumberFormat="1" applyFont="1" applyAlignment="1">
      <alignment/>
    </xf>
    <xf numFmtId="168" fontId="17" fillId="0" borderId="0" xfId="0" applyNumberFormat="1" applyFont="1" applyAlignment="1">
      <alignment/>
    </xf>
    <xf numFmtId="168" fontId="14" fillId="0" borderId="3" xfId="0" applyNumberFormat="1" applyFont="1" applyBorder="1" applyAlignment="1">
      <alignment/>
    </xf>
    <xf numFmtId="168" fontId="0" fillId="0" borderId="0" xfId="0" applyNumberFormat="1" applyAlignment="1">
      <alignment/>
    </xf>
    <xf numFmtId="168" fontId="5" fillId="0" borderId="0" xfId="0" applyNumberFormat="1" applyFont="1" applyAlignment="1">
      <alignment/>
    </xf>
    <xf numFmtId="177" fontId="17" fillId="0" borderId="3" xfId="0" applyNumberFormat="1" applyFont="1" applyBorder="1" applyAlignment="1">
      <alignment/>
    </xf>
    <xf numFmtId="177" fontId="0" fillId="0" borderId="0" xfId="0" applyNumberFormat="1" applyBorder="1" applyAlignment="1">
      <alignment/>
    </xf>
    <xf numFmtId="0" fontId="0" fillId="0" borderId="0" xfId="0" applyFont="1" applyAlignment="1">
      <alignment horizontal="left"/>
    </xf>
    <xf numFmtId="178" fontId="4" fillId="0" borderId="0" xfId="0" applyNumberFormat="1" applyFont="1" applyAlignment="1">
      <alignment horizontal="center"/>
    </xf>
    <xf numFmtId="0" fontId="14" fillId="0" borderId="2" xfId="0" applyNumberFormat="1" applyFont="1" applyBorder="1" applyAlignment="1">
      <alignment horizontal="center"/>
    </xf>
    <xf numFmtId="0" fontId="19" fillId="0" borderId="0" xfId="0" applyFont="1" applyAlignment="1">
      <alignment/>
    </xf>
    <xf numFmtId="0" fontId="5" fillId="0" borderId="0" xfId="0" applyFont="1" applyAlignment="1">
      <alignment/>
    </xf>
    <xf numFmtId="164" fontId="20" fillId="0" borderId="0" xfId="0" applyNumberFormat="1" applyFont="1" applyAlignment="1">
      <alignment/>
    </xf>
    <xf numFmtId="164" fontId="5" fillId="0" borderId="0" xfId="0" applyNumberFormat="1" applyFont="1" applyAlignment="1">
      <alignment/>
    </xf>
    <xf numFmtId="178" fontId="13" fillId="0" borderId="0" xfId="0" applyNumberFormat="1" applyFont="1" applyBorder="1" applyAlignment="1">
      <alignment horizontal="center"/>
    </xf>
    <xf numFmtId="0" fontId="21" fillId="0" borderId="2" xfId="0" applyNumberFormat="1" applyFont="1" applyBorder="1" applyAlignment="1">
      <alignment horizontal="center"/>
    </xf>
    <xf numFmtId="0" fontId="5" fillId="0" borderId="0" xfId="0" applyFont="1" applyAlignment="1">
      <alignment horizontal="center"/>
    </xf>
    <xf numFmtId="164" fontId="22" fillId="0" borderId="0" xfId="0" applyNumberFormat="1" applyFont="1" applyAlignment="1">
      <alignment/>
    </xf>
    <xf numFmtId="174" fontId="5" fillId="0" borderId="0" xfId="0" applyNumberFormat="1" applyFont="1" applyAlignment="1">
      <alignment/>
    </xf>
    <xf numFmtId="177" fontId="0" fillId="0" borderId="3" xfId="0" applyNumberFormat="1" applyBorder="1" applyAlignment="1">
      <alignment/>
    </xf>
    <xf numFmtId="168" fontId="21" fillId="0" borderId="0" xfId="0" applyNumberFormat="1" applyFont="1" applyAlignment="1">
      <alignment/>
    </xf>
    <xf numFmtId="170" fontId="0" fillId="0" borderId="0" xfId="0" applyNumberFormat="1" applyFont="1" applyAlignment="1">
      <alignment/>
    </xf>
    <xf numFmtId="177" fontId="4" fillId="0" borderId="3" xfId="0" applyNumberFormat="1" applyFont="1" applyBorder="1" applyAlignment="1">
      <alignment/>
    </xf>
    <xf numFmtId="170" fontId="24" fillId="0" borderId="0" xfId="0" applyNumberFormat="1" applyFont="1" applyAlignment="1">
      <alignment/>
    </xf>
    <xf numFmtId="1" fontId="4" fillId="0" borderId="2" xfId="0" applyNumberFormat="1" applyFont="1" applyBorder="1" applyAlignment="1">
      <alignment horizontal="center"/>
    </xf>
    <xf numFmtId="0" fontId="7" fillId="0" borderId="0" xfId="0" applyFont="1" applyAlignment="1">
      <alignment horizontal="right"/>
    </xf>
    <xf numFmtId="185" fontId="4" fillId="0" borderId="2" xfId="0" applyNumberFormat="1" applyFont="1" applyBorder="1" applyAlignment="1">
      <alignment horizontal="center"/>
    </xf>
    <xf numFmtId="0" fontId="14" fillId="0" borderId="2" xfId="0" applyNumberFormat="1" applyFont="1" applyBorder="1" applyAlignment="1">
      <alignment horizontal="centerContinuous"/>
    </xf>
    <xf numFmtId="14" fontId="14" fillId="0" borderId="2" xfId="0" applyNumberFormat="1" applyFont="1" applyBorder="1" applyAlignment="1">
      <alignment horizontal="center"/>
    </xf>
    <xf numFmtId="168" fontId="17" fillId="0" borderId="3" xfId="0" applyNumberFormat="1" applyFont="1" applyFill="1" applyBorder="1" applyAlignment="1">
      <alignment/>
    </xf>
    <xf numFmtId="168" fontId="5" fillId="0" borderId="3" xfId="0" applyNumberFormat="1" applyFont="1" applyBorder="1" applyAlignment="1">
      <alignment/>
    </xf>
    <xf numFmtId="168" fontId="0" fillId="0" borderId="3" xfId="0" applyNumberFormat="1" applyFont="1" applyBorder="1" applyAlignment="1">
      <alignment/>
    </xf>
    <xf numFmtId="174" fontId="17" fillId="0" borderId="0" xfId="0" applyNumberFormat="1" applyFont="1" applyAlignment="1">
      <alignment/>
    </xf>
    <xf numFmtId="168" fontId="14" fillId="0" borderId="11" xfId="0" applyNumberFormat="1" applyFont="1" applyBorder="1" applyAlignment="1">
      <alignment/>
    </xf>
    <xf numFmtId="168" fontId="17" fillId="0" borderId="0" xfId="0" applyNumberFormat="1" applyFont="1" applyAlignment="1">
      <alignment/>
    </xf>
    <xf numFmtId="168" fontId="17" fillId="0" borderId="3" xfId="0" applyNumberFormat="1" applyFont="1" applyBorder="1" applyAlignment="1">
      <alignment/>
    </xf>
    <xf numFmtId="179" fontId="15" fillId="0" borderId="0" xfId="0" applyNumberFormat="1" applyFont="1" applyAlignment="1">
      <alignment/>
    </xf>
    <xf numFmtId="0" fontId="0" fillId="0" borderId="0" xfId="0" applyAlignment="1">
      <alignment horizontal="center"/>
    </xf>
    <xf numFmtId="0" fontId="0" fillId="0" borderId="2" xfId="0" applyBorder="1" applyAlignment="1">
      <alignment horizontal="center"/>
    </xf>
    <xf numFmtId="179" fontId="17" fillId="0" borderId="0" xfId="0" applyNumberFormat="1" applyFont="1" applyAlignment="1">
      <alignment/>
    </xf>
    <xf numFmtId="180" fontId="5" fillId="0" borderId="0" xfId="0" applyNumberFormat="1" applyFont="1" applyAlignment="1">
      <alignment/>
    </xf>
    <xf numFmtId="167" fontId="5" fillId="0" borderId="0" xfId="0" applyNumberFormat="1" applyFont="1" applyFill="1" applyBorder="1" applyAlignment="1">
      <alignment/>
    </xf>
    <xf numFmtId="167" fontId="5" fillId="0" borderId="0" xfId="0" applyNumberFormat="1" applyFont="1" applyAlignment="1">
      <alignment horizontal="right"/>
    </xf>
    <xf numFmtId="164" fontId="5" fillId="0" borderId="0" xfId="0" applyNumberFormat="1" applyFont="1" applyAlignment="1">
      <alignment/>
    </xf>
    <xf numFmtId="179" fontId="0" fillId="0" borderId="0" xfId="0" applyNumberFormat="1" applyAlignment="1">
      <alignment/>
    </xf>
    <xf numFmtId="171" fontId="0" fillId="0" borderId="3" xfId="0" applyNumberFormat="1" applyBorder="1" applyAlignment="1">
      <alignment/>
    </xf>
    <xf numFmtId="170" fontId="0" fillId="0" borderId="0" xfId="0" applyNumberFormat="1" applyFont="1" applyBorder="1" applyAlignment="1">
      <alignment/>
    </xf>
    <xf numFmtId="0" fontId="0" fillId="0" borderId="0" xfId="0" applyAlignment="1">
      <alignment horizontal="left" indent="1"/>
    </xf>
    <xf numFmtId="168" fontId="0" fillId="0" borderId="0" xfId="0" applyNumberFormat="1" applyFont="1" applyAlignment="1">
      <alignment/>
    </xf>
    <xf numFmtId="174" fontId="0" fillId="0" borderId="0" xfId="0" applyNumberFormat="1" applyFont="1" applyAlignment="1">
      <alignment/>
    </xf>
    <xf numFmtId="169" fontId="17" fillId="0" borderId="0" xfId="0" applyNumberFormat="1" applyFont="1" applyBorder="1" applyAlignment="1">
      <alignment/>
    </xf>
    <xf numFmtId="0" fontId="0" fillId="0" borderId="0" xfId="0" applyNumberFormat="1" applyBorder="1" applyAlignment="1">
      <alignment/>
    </xf>
    <xf numFmtId="175" fontId="17" fillId="0" borderId="0" xfId="0" applyNumberFormat="1" applyFont="1" applyBorder="1" applyAlignment="1">
      <alignment/>
    </xf>
    <xf numFmtId="0" fontId="25" fillId="2" borderId="0" xfId="0" applyFont="1" applyFill="1" applyAlignment="1">
      <alignment horizontal="centerContinuous"/>
    </xf>
    <xf numFmtId="166" fontId="7" fillId="0" borderId="0" xfId="0" applyNumberFormat="1" applyFont="1" applyBorder="1" applyAlignment="1">
      <alignment/>
    </xf>
    <xf numFmtId="0" fontId="0" fillId="0" borderId="0" xfId="0" applyAlignment="1">
      <alignment/>
    </xf>
    <xf numFmtId="176" fontId="5" fillId="0" borderId="0" xfId="0" applyNumberFormat="1" applyFont="1" applyBorder="1" applyAlignment="1">
      <alignment horizontal="center"/>
    </xf>
    <xf numFmtId="186" fontId="14" fillId="0" borderId="2" xfId="0" applyNumberFormat="1" applyFont="1" applyBorder="1" applyAlignment="1">
      <alignment horizontal="center"/>
    </xf>
    <xf numFmtId="0" fontId="14" fillId="0" borderId="0" xfId="0" applyNumberFormat="1" applyFont="1" applyBorder="1" applyAlignment="1">
      <alignment horizontal="centerContinuous"/>
    </xf>
    <xf numFmtId="186" fontId="14" fillId="0" borderId="2" xfId="0" applyNumberFormat="1" applyFont="1" applyBorder="1" applyAlignment="1">
      <alignment horizontal="centerContinuous"/>
    </xf>
    <xf numFmtId="0" fontId="14" fillId="0" borderId="0" xfId="0" applyNumberFormat="1" applyFont="1" applyBorder="1" applyAlignment="1">
      <alignment horizontal="left"/>
    </xf>
    <xf numFmtId="166" fontId="7" fillId="0" borderId="0" xfId="0" applyNumberFormat="1" applyFont="1" applyAlignment="1">
      <alignment/>
    </xf>
    <xf numFmtId="166" fontId="0" fillId="0" borderId="0" xfId="0" applyNumberFormat="1" applyFont="1" applyAlignment="1">
      <alignment/>
    </xf>
    <xf numFmtId="168" fontId="0" fillId="0" borderId="0" xfId="0" applyNumberFormat="1" applyFont="1" applyFill="1" applyBorder="1" applyAlignment="1">
      <alignment/>
    </xf>
    <xf numFmtId="187" fontId="0" fillId="0" borderId="0" xfId="0" applyNumberFormat="1" applyAlignment="1">
      <alignment/>
    </xf>
    <xf numFmtId="0" fontId="5" fillId="0" borderId="0" xfId="0" applyNumberFormat="1" applyFont="1" applyAlignment="1">
      <alignment horizontal="center"/>
    </xf>
    <xf numFmtId="0" fontId="17" fillId="0" borderId="0" xfId="0" applyNumberFormat="1" applyFont="1" applyAlignment="1">
      <alignment horizontal="center"/>
    </xf>
    <xf numFmtId="0" fontId="0" fillId="0" borderId="0" xfId="0" applyNumberFormat="1" applyFont="1" applyAlignment="1">
      <alignment horizontal="center"/>
    </xf>
    <xf numFmtId="0" fontId="6" fillId="0" borderId="0" xfId="0" applyFont="1" applyAlignment="1">
      <alignment wrapText="1"/>
    </xf>
    <xf numFmtId="0" fontId="0" fillId="0" borderId="0" xfId="0" applyFont="1" applyAlignment="1">
      <alignment vertical="top"/>
    </xf>
    <xf numFmtId="0" fontId="6" fillId="0" borderId="0" xfId="0" applyFont="1" applyAlignment="1">
      <alignment horizontal="center" vertical="top" wrapText="1"/>
    </xf>
    <xf numFmtId="168" fontId="5" fillId="0" borderId="0" xfId="0" applyNumberFormat="1" applyFont="1" applyFill="1" applyBorder="1" applyAlignment="1">
      <alignment/>
    </xf>
    <xf numFmtId="169" fontId="17" fillId="0" borderId="0" xfId="15" applyNumberFormat="1" applyFont="1" applyAlignment="1">
      <alignment/>
    </xf>
    <xf numFmtId="170" fontId="0" fillId="0" borderId="0" xfId="0" applyNumberFormat="1" applyFont="1" applyFill="1" applyBorder="1" applyAlignment="1">
      <alignment/>
    </xf>
    <xf numFmtId="170" fontId="17" fillId="0" borderId="0" xfId="0" applyNumberFormat="1" applyFont="1" applyFill="1" applyBorder="1" applyAlignment="1">
      <alignment/>
    </xf>
    <xf numFmtId="168" fontId="14" fillId="0" borderId="11" xfId="0" applyNumberFormat="1" applyFont="1" applyBorder="1" applyAlignment="1">
      <alignment/>
    </xf>
    <xf numFmtId="0" fontId="17" fillId="0" borderId="0" xfId="0" applyNumberFormat="1" applyFont="1" applyAlignment="1">
      <alignment/>
    </xf>
    <xf numFmtId="176" fontId="5" fillId="0" borderId="0" xfId="0" applyNumberFormat="1" applyFont="1" applyAlignment="1">
      <alignment horizontal="center"/>
    </xf>
    <xf numFmtId="176" fontId="0" fillId="0" borderId="0" xfId="0" applyNumberFormat="1" applyAlignment="1">
      <alignment/>
    </xf>
    <xf numFmtId="176" fontId="5" fillId="0" borderId="0" xfId="0" applyNumberFormat="1" applyFont="1" applyAlignment="1">
      <alignment horizontal="centerContinuous"/>
    </xf>
    <xf numFmtId="176" fontId="0" fillId="0" borderId="0" xfId="0" applyNumberFormat="1" applyAlignment="1">
      <alignment horizontal="centerContinuous"/>
    </xf>
    <xf numFmtId="176" fontId="17" fillId="0" borderId="0" xfId="0" applyNumberFormat="1" applyFont="1" applyAlignment="1">
      <alignment horizontal="center"/>
    </xf>
    <xf numFmtId="164" fontId="26" fillId="0" borderId="11" xfId="0" applyNumberFormat="1" applyFont="1" applyBorder="1" applyAlignment="1">
      <alignment/>
    </xf>
    <xf numFmtId="169" fontId="14" fillId="0" borderId="11" xfId="0" applyNumberFormat="1" applyFont="1" applyBorder="1" applyAlignment="1">
      <alignment/>
    </xf>
    <xf numFmtId="0" fontId="0" fillId="0" borderId="0" xfId="0" applyNumberFormat="1" applyFont="1" applyFill="1" applyBorder="1" applyAlignment="1" applyProtection="1">
      <alignment horizontal="left" indent="1"/>
      <protection/>
    </xf>
    <xf numFmtId="167" fontId="7" fillId="0" borderId="0" xfId="0" applyNumberFormat="1" applyFont="1" applyAlignment="1">
      <alignment horizontal="right"/>
    </xf>
    <xf numFmtId="166" fontId="6" fillId="0" borderId="0" xfId="0" applyNumberFormat="1" applyFont="1" applyBorder="1" applyAlignment="1">
      <alignment/>
    </xf>
    <xf numFmtId="166" fontId="6" fillId="0" borderId="0" xfId="0" applyNumberFormat="1" applyFont="1" applyAlignment="1">
      <alignment/>
    </xf>
    <xf numFmtId="0" fontId="17" fillId="0" borderId="2" xfId="0" applyNumberFormat="1" applyFont="1" applyBorder="1" applyAlignment="1">
      <alignment horizontal="center"/>
    </xf>
    <xf numFmtId="0" fontId="17" fillId="0" borderId="0" xfId="0" applyNumberFormat="1" applyFont="1" applyBorder="1" applyAlignment="1">
      <alignment horizontal="center"/>
    </xf>
    <xf numFmtId="166" fontId="15" fillId="0" borderId="0" xfId="0" applyNumberFormat="1" applyFont="1" applyAlignment="1">
      <alignment/>
    </xf>
    <xf numFmtId="166" fontId="7" fillId="0" borderId="0" xfId="0" applyNumberFormat="1" applyFont="1" applyFill="1" applyBorder="1" applyAlignment="1">
      <alignment/>
    </xf>
    <xf numFmtId="173" fontId="6" fillId="0" borderId="0" xfId="0" applyNumberFormat="1" applyFont="1" applyAlignment="1">
      <alignment/>
    </xf>
    <xf numFmtId="164" fontId="7" fillId="0" borderId="0" xfId="0" applyNumberFormat="1" applyFont="1" applyFill="1" applyBorder="1" applyAlignment="1">
      <alignment/>
    </xf>
    <xf numFmtId="1" fontId="5" fillId="0" borderId="0" xfId="0" applyNumberFormat="1" applyFont="1" applyBorder="1" applyAlignment="1">
      <alignment horizontal="center"/>
    </xf>
    <xf numFmtId="164" fontId="6" fillId="0" borderId="0" xfId="0" applyNumberFormat="1" applyFont="1" applyFill="1" applyBorder="1" applyAlignment="1">
      <alignment/>
    </xf>
    <xf numFmtId="0" fontId="0" fillId="0" borderId="0" xfId="0" applyFont="1" applyAlignment="1">
      <alignment horizontal="center"/>
    </xf>
    <xf numFmtId="1" fontId="5"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Hyperlink" xfId="19"/>
    <cellStyle name="Normal_Seevers_Clean Stub Long Form Model2" xfId="20"/>
    <cellStyle name="Percent" xfId="21"/>
  </cellStyles>
  <dxfs count="1">
    <dxf>
      <font>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47"/>
  <sheetViews>
    <sheetView showGridLines="0" tabSelected="1" zoomScale="80" zoomScaleNormal="80" workbookViewId="0" topLeftCell="A100">
      <selection activeCell="A115" sqref="A115"/>
    </sheetView>
  </sheetViews>
  <sheetFormatPr defaultColWidth="9.140625" defaultRowHeight="12.75"/>
  <cols>
    <col min="1" max="2" width="1.7109375" style="0" customWidth="1"/>
    <col min="3" max="5" width="9.7109375" style="0" customWidth="1"/>
    <col min="6" max="6" width="1.7109375" style="0" customWidth="1"/>
    <col min="7"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2" width="1.7109375" style="0" customWidth="1"/>
    <col min="23" max="23" width="9.7109375" style="0" customWidth="1"/>
    <col min="24" max="24" width="1.7109375" style="0" customWidth="1"/>
    <col min="25" max="25" width="9.7109375" style="0" customWidth="1"/>
    <col min="26" max="26" width="1.7109375" style="0" customWidth="1"/>
    <col min="27" max="27" width="9.7109375" style="0" customWidth="1"/>
    <col min="28" max="28" width="1.7109375" style="0" customWidth="1"/>
    <col min="29" max="29" width="9.7109375" style="0" customWidth="1"/>
    <col min="30" max="30" width="1.7109375" style="0" customWidth="1"/>
    <col min="32" max="32" width="1.7109375" style="0" customWidth="1"/>
    <col min="34" max="34" width="1.7109375" style="0" customWidth="1"/>
    <col min="36" max="36" width="1.7109375" style="0" customWidth="1"/>
    <col min="37" max="37" width="9.7109375" style="0" customWidth="1"/>
    <col min="38" max="38" width="1.7109375" style="0" customWidth="1"/>
    <col min="39" max="39" width="9.7109375" style="0" customWidth="1"/>
    <col min="40" max="40" width="1.7109375" style="0" customWidth="1"/>
    <col min="42" max="42" width="1.7109375" style="0" customWidth="1"/>
  </cols>
  <sheetData>
    <row r="1" spans="1:35" ht="24" customHeight="1" thickBot="1">
      <c r="A1" s="1" t="str">
        <f>AI6&amp;" LBO Valuation"</f>
        <v>TargetCo LBO Valuation</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43" ht="13.5" thickBot="1">
      <c r="A2" s="3" t="s">
        <v>0</v>
      </c>
      <c r="AK2" s="20" t="s">
        <v>112</v>
      </c>
      <c r="AL2" s="21"/>
      <c r="AM2" s="20"/>
      <c r="AN2" s="21"/>
      <c r="AO2" s="21"/>
      <c r="AP2" s="21"/>
      <c r="AQ2" s="21"/>
    </row>
    <row r="3" spans="39:43" ht="12.75">
      <c r="AM3" s="110" t="s">
        <v>113</v>
      </c>
      <c r="AO3" s="110" t="s">
        <v>114</v>
      </c>
      <c r="AQ3" s="110" t="s">
        <v>115</v>
      </c>
    </row>
    <row r="4" spans="1:43" ht="13.5" customHeight="1" thickBot="1">
      <c r="A4" s="4" t="s">
        <v>226</v>
      </c>
      <c r="B4" s="4"/>
      <c r="C4" s="4"/>
      <c r="D4" s="4"/>
      <c r="E4" s="4"/>
      <c r="F4" s="4"/>
      <c r="G4" s="4"/>
      <c r="H4" s="4"/>
      <c r="I4" s="4"/>
      <c r="J4" s="4"/>
      <c r="K4" s="4"/>
      <c r="L4" s="4"/>
      <c r="M4" s="4"/>
      <c r="N4" s="4"/>
      <c r="O4" s="4"/>
      <c r="P4" s="4"/>
      <c r="Q4" s="4"/>
      <c r="S4" s="4" t="s">
        <v>1</v>
      </c>
      <c r="T4" s="4"/>
      <c r="U4" s="4"/>
      <c r="V4" s="4"/>
      <c r="W4" s="4"/>
      <c r="X4" s="4"/>
      <c r="Y4" s="4"/>
      <c r="AA4" s="4" t="s">
        <v>13</v>
      </c>
      <c r="AB4" s="4"/>
      <c r="AC4" s="4"/>
      <c r="AD4" s="4"/>
      <c r="AE4" s="4"/>
      <c r="AF4" s="4"/>
      <c r="AG4" s="4"/>
      <c r="AH4" s="4"/>
      <c r="AI4" s="4"/>
      <c r="AK4" s="5"/>
      <c r="AL4" s="5"/>
      <c r="AM4" s="111" t="s">
        <v>116</v>
      </c>
      <c r="AN4" s="5"/>
      <c r="AO4" s="111" t="s">
        <v>117</v>
      </c>
      <c r="AP4" s="5"/>
      <c r="AQ4" s="111" t="s">
        <v>118</v>
      </c>
    </row>
    <row r="5" spans="37:43" ht="12.75">
      <c r="AK5" t="s">
        <v>119</v>
      </c>
      <c r="AM5" s="71">
        <v>0.209</v>
      </c>
      <c r="AO5" s="7">
        <v>9.04</v>
      </c>
      <c r="AQ5" s="112">
        <f aca="true" t="shared" si="0" ref="AQ5:AQ14">IF(AO5&gt;trans_price,0,AM5-AM5*AO5/trans_price)</f>
        <v>0.09100718188914911</v>
      </c>
    </row>
    <row r="6" spans="9:43" ht="12.75" customHeight="1">
      <c r="I6" s="22" t="s">
        <v>227</v>
      </c>
      <c r="K6" s="22" t="s">
        <v>203</v>
      </c>
      <c r="M6" s="22" t="s">
        <v>228</v>
      </c>
      <c r="Q6" s="22" t="s">
        <v>233</v>
      </c>
      <c r="S6" t="s">
        <v>2</v>
      </c>
      <c r="Y6" s="7">
        <v>12.81</v>
      </c>
      <c r="AA6" t="s">
        <v>14</v>
      </c>
      <c r="AI6" s="15" t="s">
        <v>15</v>
      </c>
      <c r="AK6" t="s">
        <v>120</v>
      </c>
      <c r="AM6" s="71">
        <v>0.059</v>
      </c>
      <c r="AO6" s="113">
        <v>10.03</v>
      </c>
      <c r="AQ6" s="112">
        <f t="shared" si="0"/>
        <v>0.022043247462919593</v>
      </c>
    </row>
    <row r="7" spans="7:43" s="6" customFormat="1" ht="13.5" customHeight="1" thickBot="1">
      <c r="G7" s="26" t="s">
        <v>229</v>
      </c>
      <c r="H7" s="5"/>
      <c r="I7" s="26" t="s">
        <v>230</v>
      </c>
      <c r="J7" s="5"/>
      <c r="K7" s="26" t="s">
        <v>30</v>
      </c>
      <c r="L7" s="5"/>
      <c r="M7" s="26" t="s">
        <v>231</v>
      </c>
      <c r="N7" s="5"/>
      <c r="O7" s="26" t="s">
        <v>232</v>
      </c>
      <c r="P7" s="5"/>
      <c r="Q7" s="26" t="s">
        <v>234</v>
      </c>
      <c r="S7" t="s">
        <v>3</v>
      </c>
      <c r="T7"/>
      <c r="U7"/>
      <c r="V7"/>
      <c r="W7"/>
      <c r="X7"/>
      <c r="Y7" s="9">
        <v>0.25</v>
      </c>
      <c r="AA7" t="s">
        <v>16</v>
      </c>
      <c r="AB7"/>
      <c r="AC7"/>
      <c r="AD7"/>
      <c r="AE7"/>
      <c r="AF7"/>
      <c r="AI7" s="15" t="s">
        <v>19</v>
      </c>
      <c r="AK7" t="s">
        <v>121</v>
      </c>
      <c r="AL7"/>
      <c r="AM7" s="71">
        <v>0.221</v>
      </c>
      <c r="AN7"/>
      <c r="AO7" s="113">
        <v>11.53</v>
      </c>
      <c r="AP7"/>
      <c r="AQ7" s="112">
        <f t="shared" si="0"/>
        <v>0.06186619828259171</v>
      </c>
    </row>
    <row r="8" spans="1:43" ht="13.5" customHeight="1">
      <c r="A8" s="83" t="s">
        <v>206</v>
      </c>
      <c r="B8" s="83"/>
      <c r="S8" s="157" t="s">
        <v>4</v>
      </c>
      <c r="U8" s="5"/>
      <c r="V8" s="5"/>
      <c r="W8" s="5"/>
      <c r="X8" s="5"/>
      <c r="Y8" s="11">
        <f>Y6*(1+Y7)</f>
        <v>16.0125</v>
      </c>
      <c r="AI8" s="15" t="s">
        <v>20</v>
      </c>
      <c r="AK8" t="s">
        <v>122</v>
      </c>
      <c r="AM8" s="71">
        <v>0.3</v>
      </c>
      <c r="AO8" s="113">
        <v>12.69</v>
      </c>
      <c r="AQ8" s="112">
        <f t="shared" si="0"/>
        <v>0.062248243559718974</v>
      </c>
    </row>
    <row r="9" spans="2:43" ht="12.75">
      <c r="B9" t="s">
        <v>208</v>
      </c>
      <c r="G9" s="76">
        <f>S190</f>
        <v>116.606</v>
      </c>
      <c r="I9" s="33">
        <f>G9/$G$28</f>
        <v>0.14303229720995186</v>
      </c>
      <c r="K9" s="145">
        <f>G9/ltm_ebitda</f>
        <v>0.9668822553897183</v>
      </c>
      <c r="M9" s="160">
        <f>Q28</f>
        <v>0.02</v>
      </c>
      <c r="AA9" t="s">
        <v>17</v>
      </c>
      <c r="AG9" s="16">
        <f ca="1">NOW()</f>
        <v>39980.54513136574</v>
      </c>
      <c r="AI9" s="17">
        <f ca="1">NOW()</f>
        <v>39980.54513136574</v>
      </c>
      <c r="AK9" t="s">
        <v>123</v>
      </c>
      <c r="AM9" s="71">
        <v>0.269</v>
      </c>
      <c r="AO9" s="113">
        <v>19.54</v>
      </c>
      <c r="AQ9" s="112">
        <f t="shared" si="0"/>
        <v>0</v>
      </c>
    </row>
    <row r="10" spans="2:43" s="10" customFormat="1" ht="13.5" customHeight="1">
      <c r="B10" s="5" t="s">
        <v>209</v>
      </c>
      <c r="G10" s="119">
        <f>S191</f>
        <v>230</v>
      </c>
      <c r="I10" s="33">
        <f>G10/$G$28</f>
        <v>0.2821246621810964</v>
      </c>
      <c r="K10" s="145">
        <f>G10/ltm_ebitda</f>
        <v>1.9071310116086242</v>
      </c>
      <c r="M10" s="160">
        <f>AO21</f>
        <v>0.025</v>
      </c>
      <c r="Q10" s="169">
        <f>M140</f>
        <v>0</v>
      </c>
      <c r="S10" s="24" t="s">
        <v>143</v>
      </c>
      <c r="Y10" s="117">
        <f>AQ27</f>
        <v>35.15916487119438</v>
      </c>
      <c r="AA10" t="s">
        <v>18</v>
      </c>
      <c r="AB10"/>
      <c r="AC10" s="80" t="str">
        <f ca="1">CELL("filename")</f>
        <v>C:\Documents and Settings\Administrator\My Documents\LBO\[debt-sched2.xls]LBO</v>
      </c>
      <c r="AD10" s="80"/>
      <c r="AE10"/>
      <c r="AF10"/>
      <c r="AK10" t="s">
        <v>124</v>
      </c>
      <c r="AL10"/>
      <c r="AM10" s="71">
        <v>0.211</v>
      </c>
      <c r="AN10"/>
      <c r="AO10" s="113">
        <v>27.06</v>
      </c>
      <c r="AP10"/>
      <c r="AQ10" s="112">
        <f t="shared" si="0"/>
        <v>0</v>
      </c>
    </row>
    <row r="11" spans="2:43" ht="12.75" customHeight="1">
      <c r="B11" t="s">
        <v>225</v>
      </c>
      <c r="G11" s="119">
        <f>S192</f>
        <v>0</v>
      </c>
      <c r="I11" s="33">
        <f>G11/$G$28</f>
        <v>0</v>
      </c>
      <c r="K11" s="145">
        <f>G11/ltm_ebitda</f>
        <v>0</v>
      </c>
      <c r="M11" s="158"/>
      <c r="S11" s="24" t="s">
        <v>144</v>
      </c>
      <c r="Y11" s="121">
        <f>Y10*Y8</f>
        <v>562.9861275</v>
      </c>
      <c r="AK11" t="s">
        <v>125</v>
      </c>
      <c r="AM11" s="71">
        <v>0.187</v>
      </c>
      <c r="AO11" s="113">
        <v>45.75</v>
      </c>
      <c r="AQ11" s="112">
        <f t="shared" si="0"/>
        <v>0</v>
      </c>
    </row>
    <row r="12" spans="2:43" ht="12.75" customHeight="1" thickBot="1">
      <c r="B12" t="s">
        <v>235</v>
      </c>
      <c r="I12" s="19"/>
      <c r="S12" s="6" t="s">
        <v>145</v>
      </c>
      <c r="Y12" s="122">
        <f>AQ34</f>
        <v>83.394</v>
      </c>
      <c r="AC12" s="6"/>
      <c r="AD12" s="6"/>
      <c r="AE12" s="6"/>
      <c r="AF12" s="6"/>
      <c r="AG12" s="6"/>
      <c r="AH12" s="6"/>
      <c r="AI12" s="6"/>
      <c r="AK12" t="s">
        <v>126</v>
      </c>
      <c r="AM12" s="71">
        <v>0</v>
      </c>
      <c r="AO12" s="113">
        <v>0</v>
      </c>
      <c r="AQ12" s="112">
        <f t="shared" si="0"/>
        <v>0</v>
      </c>
    </row>
    <row r="13" spans="3:43" ht="13.5" customHeight="1" thickBot="1">
      <c r="C13" t="str">
        <f>B193</f>
        <v>Revolver</v>
      </c>
      <c r="G13" s="37">
        <f>S193</f>
        <v>0</v>
      </c>
      <c r="I13" s="33">
        <f>G13/$G$28</f>
        <v>0</v>
      </c>
      <c r="K13" s="145">
        <f aca="true" t="shared" si="1" ref="K13:K19">G13/ltm_ebitda</f>
        <v>0</v>
      </c>
      <c r="M13" s="160">
        <f>libor+O13/10000</f>
        <v>0.0703</v>
      </c>
      <c r="O13" s="165">
        <f>M125*10000</f>
        <v>425.00000000000006</v>
      </c>
      <c r="S13" s="157" t="s">
        <v>146</v>
      </c>
      <c r="Y13" s="106">
        <f>SUM(Y11:Y12)</f>
        <v>646.3801275</v>
      </c>
      <c r="AC13" s="10"/>
      <c r="AD13" s="10"/>
      <c r="AE13" s="10"/>
      <c r="AF13" s="10"/>
      <c r="AG13" s="10"/>
      <c r="AH13" s="10"/>
      <c r="AI13" s="10"/>
      <c r="AK13" t="s">
        <v>127</v>
      </c>
      <c r="AM13" s="71">
        <v>0</v>
      </c>
      <c r="AO13" s="113">
        <v>0</v>
      </c>
      <c r="AQ13" s="112">
        <f t="shared" si="0"/>
        <v>0</v>
      </c>
    </row>
    <row r="14" spans="3:43" ht="13.5" customHeight="1" thickTop="1">
      <c r="C14" t="str">
        <f aca="true" t="shared" si="2" ref="C14:C19">B194</f>
        <v>Term Loan - A</v>
      </c>
      <c r="G14" s="37">
        <f aca="true" t="shared" si="3" ref="G14:G19">S194</f>
        <v>150</v>
      </c>
      <c r="I14" s="33">
        <f>G14/$G$28</f>
        <v>0.18399434490071506</v>
      </c>
      <c r="K14" s="145">
        <f t="shared" si="1"/>
        <v>1.2437810945273635</v>
      </c>
      <c r="M14" s="160">
        <f>libor+O14/10000</f>
        <v>0.07569999999999999</v>
      </c>
      <c r="O14" s="165">
        <f>M126*10000</f>
        <v>479</v>
      </c>
      <c r="Q14" s="169">
        <f>M141</f>
        <v>0</v>
      </c>
      <c r="AC14" s="10"/>
      <c r="AD14" s="10"/>
      <c r="AE14" s="10"/>
      <c r="AF14" s="10"/>
      <c r="AG14" s="10"/>
      <c r="AH14" s="10"/>
      <c r="AI14" s="10"/>
      <c r="AK14" s="5" t="s">
        <v>128</v>
      </c>
      <c r="AL14" s="5"/>
      <c r="AM14" s="71">
        <v>0</v>
      </c>
      <c r="AN14" s="5"/>
      <c r="AO14" s="113">
        <v>0</v>
      </c>
      <c r="AP14" s="5"/>
      <c r="AQ14" s="112">
        <f t="shared" si="0"/>
        <v>0</v>
      </c>
    </row>
    <row r="15" spans="3:43" ht="13.5" customHeight="1" thickBot="1">
      <c r="C15" t="str">
        <f t="shared" si="2"/>
        <v>Term Loan - B</v>
      </c>
      <c r="G15" s="37">
        <f t="shared" si="3"/>
        <v>0</v>
      </c>
      <c r="I15" s="33">
        <f>G15/$G$28</f>
        <v>0</v>
      </c>
      <c r="K15" s="145">
        <f t="shared" si="1"/>
        <v>0</v>
      </c>
      <c r="M15" s="160">
        <f>libor+O15/10000</f>
        <v>0.08779999999999999</v>
      </c>
      <c r="O15" s="165">
        <f>M127*10000</f>
        <v>600</v>
      </c>
      <c r="Q15" s="169">
        <f>M142</f>
        <v>0</v>
      </c>
      <c r="S15" s="20" t="s">
        <v>147</v>
      </c>
      <c r="T15" s="21"/>
      <c r="U15" s="20"/>
      <c r="V15" s="21"/>
      <c r="W15" s="21"/>
      <c r="X15" s="21"/>
      <c r="Y15" s="21"/>
      <c r="AC15" s="10"/>
      <c r="AD15" s="10"/>
      <c r="AE15" s="10"/>
      <c r="AF15" s="10"/>
      <c r="AG15" s="10"/>
      <c r="AH15" s="10"/>
      <c r="AI15" s="10"/>
      <c r="AP15" s="10"/>
      <c r="AQ15" s="10"/>
    </row>
    <row r="16" spans="3:43" ht="13.5" customHeight="1" thickBot="1">
      <c r="C16" t="str">
        <f t="shared" si="2"/>
        <v>Senior Note</v>
      </c>
      <c r="G16" s="37">
        <f t="shared" si="3"/>
        <v>75</v>
      </c>
      <c r="I16" s="33">
        <f aca="true" t="shared" si="4" ref="I16:I27">G16/$G$28</f>
        <v>0.09199717245035753</v>
      </c>
      <c r="K16" s="145">
        <f t="shared" si="1"/>
        <v>0.6218905472636818</v>
      </c>
      <c r="M16" s="160">
        <f>libor+O16/10000</f>
        <v>0.0928</v>
      </c>
      <c r="O16" s="165">
        <f>M128*10000</f>
        <v>650</v>
      </c>
      <c r="Q16" s="169">
        <f>M143</f>
        <v>0</v>
      </c>
      <c r="W16" s="26" t="s">
        <v>148</v>
      </c>
      <c r="Y16" s="26" t="s">
        <v>149</v>
      </c>
      <c r="AC16" s="10"/>
      <c r="AD16" s="10"/>
      <c r="AE16" s="10"/>
      <c r="AF16" s="10"/>
      <c r="AG16" s="10"/>
      <c r="AH16" s="10"/>
      <c r="AI16" s="10"/>
      <c r="AK16" s="20" t="s">
        <v>129</v>
      </c>
      <c r="AL16" s="21"/>
      <c r="AM16" s="20"/>
      <c r="AN16" s="21"/>
      <c r="AO16" s="21"/>
      <c r="AP16" s="21"/>
      <c r="AQ16" s="21"/>
    </row>
    <row r="17" spans="3:43" ht="13.5" customHeight="1" thickBot="1">
      <c r="C17" t="str">
        <f t="shared" si="2"/>
        <v>Subordinated Note</v>
      </c>
      <c r="G17" s="37">
        <f t="shared" si="3"/>
        <v>0</v>
      </c>
      <c r="I17" s="33">
        <f t="shared" si="4"/>
        <v>0</v>
      </c>
      <c r="K17" s="145">
        <f t="shared" si="1"/>
        <v>0</v>
      </c>
      <c r="M17" s="160">
        <f>O129</f>
        <v>0.1025</v>
      </c>
      <c r="Q17" s="169">
        <f>M144</f>
        <v>5</v>
      </c>
      <c r="S17" t="s">
        <v>150</v>
      </c>
      <c r="W17" s="121">
        <f>M50</f>
        <v>420.4</v>
      </c>
      <c r="Y17" s="123">
        <f>$Y$13/W17</f>
        <v>1.53753598358706</v>
      </c>
      <c r="AC17" s="10"/>
      <c r="AD17" s="10"/>
      <c r="AE17" s="10"/>
      <c r="AF17" s="10"/>
      <c r="AG17" s="10"/>
      <c r="AH17" s="10"/>
      <c r="AI17" s="10"/>
      <c r="AO17" s="111" t="s">
        <v>130</v>
      </c>
      <c r="AQ17" s="111" t="s">
        <v>131</v>
      </c>
    </row>
    <row r="18" spans="3:43" ht="13.5" customHeight="1">
      <c r="C18" t="str">
        <f t="shared" si="2"/>
        <v>Mezzanine</v>
      </c>
      <c r="G18" s="37">
        <f t="shared" si="3"/>
        <v>0</v>
      </c>
      <c r="I18" s="33">
        <f t="shared" si="4"/>
        <v>0</v>
      </c>
      <c r="K18" s="145">
        <f t="shared" si="1"/>
        <v>0</v>
      </c>
      <c r="M18" s="160">
        <f>O130</f>
        <v>0.105</v>
      </c>
      <c r="Q18" s="169">
        <f>M145</f>
        <v>0</v>
      </c>
      <c r="S18" s="124" t="str">
        <f>"FY "&amp;Q48&amp;" PF Sales"</f>
        <v>FY 2008 PF Sales</v>
      </c>
      <c r="W18" s="122">
        <f>Q50</f>
        <v>458.09999999999997</v>
      </c>
      <c r="Y18" s="123">
        <f>$Y$13/W18</f>
        <v>1.4110022429600524</v>
      </c>
      <c r="AK18" t="s">
        <v>132</v>
      </c>
      <c r="AL18" s="10"/>
      <c r="AM18" s="10"/>
      <c r="AN18" s="10"/>
      <c r="AO18" s="77">
        <v>230</v>
      </c>
      <c r="AQ18" s="77">
        <v>0</v>
      </c>
    </row>
    <row r="19" spans="3:43" ht="13.5" customHeight="1">
      <c r="C19" t="str">
        <f t="shared" si="2"/>
        <v>Seller Note</v>
      </c>
      <c r="G19" s="37">
        <f t="shared" si="3"/>
        <v>0</v>
      </c>
      <c r="I19" s="33">
        <f t="shared" si="4"/>
        <v>0</v>
      </c>
      <c r="K19" s="145">
        <f t="shared" si="1"/>
        <v>0</v>
      </c>
      <c r="M19" s="160">
        <f>O131</f>
        <v>0.105</v>
      </c>
      <c r="Q19" s="169">
        <f>M146</f>
        <v>2</v>
      </c>
      <c r="S19" s="124" t="str">
        <f>"FY "&amp;S48&amp;" PF Sales"</f>
        <v>FY 2009 PF Sales</v>
      </c>
      <c r="W19" s="122">
        <f>S50</f>
        <v>467.99999999999994</v>
      </c>
      <c r="Y19" s="123">
        <f>$Y$13/W19</f>
        <v>1.3811541185897436</v>
      </c>
      <c r="AK19" t="s">
        <v>133</v>
      </c>
      <c r="AO19" s="114">
        <v>26.77</v>
      </c>
      <c r="AQ19" s="115" t="s">
        <v>24</v>
      </c>
    </row>
    <row r="20" spans="2:43" ht="13.5" customHeight="1">
      <c r="B20" t="s">
        <v>236</v>
      </c>
      <c r="I20" s="19"/>
      <c r="AK20" t="s">
        <v>134</v>
      </c>
      <c r="AO20" s="112">
        <f>IF(ISERROR(AO18/AO19),0,AO18/AO19)</f>
        <v>8.591707134852447</v>
      </c>
      <c r="AQ20" s="112">
        <f>IF(ISERROR(AQ18/AQ19),0,AQ18/AQ19)</f>
        <v>0</v>
      </c>
    </row>
    <row r="21" spans="3:43" ht="12.75">
      <c r="C21" t="str">
        <f>B200</f>
        <v>Preferred Stock - A</v>
      </c>
      <c r="G21" s="37">
        <f>S200</f>
        <v>10</v>
      </c>
      <c r="I21" s="33">
        <f t="shared" si="4"/>
        <v>0.01226628966004767</v>
      </c>
      <c r="K21" s="145">
        <f>G21/ltm_ebitda</f>
        <v>0.08291873963515757</v>
      </c>
      <c r="M21" s="160">
        <f>O132</f>
        <v>0.14</v>
      </c>
      <c r="Q21" s="170">
        <v>3</v>
      </c>
      <c r="S21" t="s">
        <v>151</v>
      </c>
      <c r="W21" s="121">
        <f>ltm_ebitda</f>
        <v>120.59999999999997</v>
      </c>
      <c r="Y21" s="125">
        <f>$Y$13/W21</f>
        <v>5.359702549751245</v>
      </c>
      <c r="AK21" t="s">
        <v>135</v>
      </c>
      <c r="AO21" s="116">
        <v>0.025</v>
      </c>
      <c r="AQ21" s="116">
        <v>0</v>
      </c>
    </row>
    <row r="22" spans="3:25" ht="12.75">
      <c r="C22" t="str">
        <f>B201</f>
        <v>Preferred Stock - B</v>
      </c>
      <c r="G22" s="37">
        <f>S201</f>
        <v>0</v>
      </c>
      <c r="I22" s="33">
        <f t="shared" si="4"/>
        <v>0</v>
      </c>
      <c r="K22" s="145">
        <f>G22/ltm_ebitda</f>
        <v>0</v>
      </c>
      <c r="M22" s="160">
        <f>O133</f>
        <v>0.1425</v>
      </c>
      <c r="Q22" s="170">
        <v>3</v>
      </c>
      <c r="S22" s="124" t="str">
        <f>"FY "&amp;Q48&amp;" PF EBITDA"</f>
        <v>FY 2008 PF EBITDA</v>
      </c>
      <c r="W22" s="122">
        <f>Q60</f>
        <v>130.2</v>
      </c>
      <c r="Y22" s="125">
        <f>$Y$13/W22</f>
        <v>4.964517108294931</v>
      </c>
    </row>
    <row r="23" spans="2:43" ht="13.5" thickBot="1">
      <c r="B23" t="s">
        <v>237</v>
      </c>
      <c r="I23" s="19"/>
      <c r="S23" s="124" t="str">
        <f>"FY "&amp;S48&amp;" PF EBITDA"</f>
        <v>FY 2009 PF EBITDA</v>
      </c>
      <c r="W23" s="122">
        <f>S60</f>
        <v>156.5</v>
      </c>
      <c r="Y23" s="125">
        <f>$Y$13/W23</f>
        <v>4.130224456869009</v>
      </c>
      <c r="AK23" s="20" t="s">
        <v>136</v>
      </c>
      <c r="AL23" s="21"/>
      <c r="AM23" s="20"/>
      <c r="AN23" s="21"/>
      <c r="AO23" s="21"/>
      <c r="AP23" s="21"/>
      <c r="AQ23" s="21"/>
    </row>
    <row r="24" spans="3:43" ht="12.75">
      <c r="C24" t="str">
        <f>B202</f>
        <v>Common - Sponsor</v>
      </c>
      <c r="G24" s="37">
        <f>S202</f>
        <v>233.6364471574999</v>
      </c>
      <c r="I24" s="33">
        <f t="shared" si="4"/>
        <v>0.2865852335978315</v>
      </c>
      <c r="K24" s="145">
        <f>G24/ltm_ebitda</f>
        <v>1.9372839731135985</v>
      </c>
      <c r="M24" s="4" t="s">
        <v>152</v>
      </c>
      <c r="N24" s="126"/>
      <c r="O24" s="126"/>
      <c r="P24" s="126"/>
      <c r="Q24" s="126"/>
      <c r="AK24" t="s">
        <v>137</v>
      </c>
      <c r="AQ24" s="71">
        <v>34.922</v>
      </c>
    </row>
    <row r="25" spans="3:43" ht="12.75">
      <c r="C25" t="str">
        <f>B203</f>
        <v>Management Rollover</v>
      </c>
      <c r="G25" s="37">
        <f>S203</f>
        <v>0</v>
      </c>
      <c r="I25" s="33">
        <f t="shared" si="4"/>
        <v>0</v>
      </c>
      <c r="K25" s="145">
        <f>G25/ltm_ebitda</f>
        <v>0</v>
      </c>
      <c r="S25" s="4" t="s">
        <v>60</v>
      </c>
      <c r="T25" s="4"/>
      <c r="U25" s="4"/>
      <c r="V25" s="4"/>
      <c r="W25" s="4"/>
      <c r="X25" s="4"/>
      <c r="Y25" s="4"/>
      <c r="AK25" t="s">
        <v>138</v>
      </c>
      <c r="AQ25" s="117">
        <f>SUM(AQ5:AQ14)</f>
        <v>0.2371648711943794</v>
      </c>
    </row>
    <row r="26" spans="3:43" ht="13.5" thickBot="1">
      <c r="C26" t="str">
        <f>B204</f>
        <v>Investor Rollover</v>
      </c>
      <c r="G26" s="37">
        <f>S204</f>
        <v>0</v>
      </c>
      <c r="I26" s="33">
        <f t="shared" si="4"/>
        <v>0</v>
      </c>
      <c r="K26" s="145">
        <f>G26/ltm_ebitda</f>
        <v>0</v>
      </c>
      <c r="M26" t="s">
        <v>153</v>
      </c>
      <c r="Q26" s="127">
        <v>0.0278</v>
      </c>
      <c r="AK26" t="s">
        <v>139</v>
      </c>
      <c r="AQ26" s="117">
        <f>IF(AO19&gt;trans_price,0,AO20)+IF(AQ19&gt;trans_price,0,AQ20)</f>
        <v>0</v>
      </c>
    </row>
    <row r="27" spans="3:43" ht="13.5" thickBot="1">
      <c r="C27" t="str">
        <f>B205</f>
        <v>Other</v>
      </c>
      <c r="G27" s="37">
        <f>S205</f>
        <v>0</v>
      </c>
      <c r="I27" s="33">
        <f t="shared" si="4"/>
        <v>0</v>
      </c>
      <c r="K27" s="145">
        <f>G27/ltm_ebitda</f>
        <v>0</v>
      </c>
      <c r="M27" t="s">
        <v>154</v>
      </c>
      <c r="Q27" s="127">
        <v>0.045</v>
      </c>
      <c r="S27" t="str">
        <f>"Operating Case: "&amp;B158</f>
        <v>Operating Case: Analyst Case</v>
      </c>
      <c r="Y27" s="89">
        <v>2</v>
      </c>
      <c r="AK27" s="120" t="s">
        <v>136</v>
      </c>
      <c r="AQ27" s="118">
        <f>SUM(AQ24:AQ26)</f>
        <v>35.15916487119438</v>
      </c>
    </row>
    <row r="28" spans="2:17" ht="13.5" thickBot="1">
      <c r="B28" s="10" t="s">
        <v>207</v>
      </c>
      <c r="G28" s="106">
        <f>SUM(G9:G27)</f>
        <v>815.2424471574999</v>
      </c>
      <c r="H28" s="10"/>
      <c r="I28" s="155">
        <f>SUM(I9:I27)</f>
        <v>1</v>
      </c>
      <c r="J28" s="10"/>
      <c r="K28" s="156">
        <f>SUM(K9:K27)</f>
        <v>6.759887621538144</v>
      </c>
      <c r="M28" t="s">
        <v>155</v>
      </c>
      <c r="Q28" s="127">
        <v>0.02</v>
      </c>
    </row>
    <row r="29" spans="13:43" ht="14.25" thickBot="1" thickTop="1">
      <c r="M29" t="s">
        <v>249</v>
      </c>
      <c r="Q29" s="129">
        <v>1</v>
      </c>
      <c r="S29" t="s">
        <v>61</v>
      </c>
      <c r="Y29" s="77">
        <v>10</v>
      </c>
      <c r="AK29" s="20" t="s">
        <v>140</v>
      </c>
      <c r="AL29" s="21"/>
      <c r="AM29" s="21"/>
      <c r="AN29" s="21"/>
      <c r="AO29" s="21"/>
      <c r="AP29" s="21"/>
      <c r="AQ29" s="21"/>
    </row>
    <row r="30" spans="1:43" ht="13.5" thickBot="1">
      <c r="A30" s="83" t="s">
        <v>213</v>
      </c>
      <c r="B30" s="83"/>
      <c r="S30" t="s">
        <v>62</v>
      </c>
      <c r="Y30" s="91">
        <v>20</v>
      </c>
      <c r="AK30" s="24" t="s">
        <v>141</v>
      </c>
      <c r="AL30" s="10"/>
      <c r="AM30" s="10"/>
      <c r="AQ30" s="77">
        <v>0</v>
      </c>
    </row>
    <row r="31" spans="2:43" ht="12.75">
      <c r="B31" t="s">
        <v>144</v>
      </c>
      <c r="M31" s="4" t="s">
        <v>156</v>
      </c>
      <c r="N31" s="126"/>
      <c r="O31" s="126"/>
      <c r="P31" s="126"/>
      <c r="Q31" s="126"/>
      <c r="T31" t="s">
        <v>63</v>
      </c>
      <c r="Y31" s="92">
        <f>SUM(Y29:Y30)</f>
        <v>30</v>
      </c>
      <c r="AK31" t="s">
        <v>129</v>
      </c>
      <c r="AQ31" s="119">
        <f>IF(AO19&gt;trans_price,AO18,0)+IF(AQ19&gt;trans_price,AQ18,0)</f>
        <v>230</v>
      </c>
    </row>
    <row r="32" spans="3:43" ht="12.75">
      <c r="C32" t="s">
        <v>219</v>
      </c>
      <c r="G32" s="76">
        <f>S209</f>
        <v>562.9861275</v>
      </c>
      <c r="I32" s="33">
        <f>G32/$G$42</f>
        <v>0.6905750914503528</v>
      </c>
      <c r="K32" s="145">
        <f>G32/ltm_ebitda</f>
        <v>4.668210012437812</v>
      </c>
      <c r="AK32" t="s">
        <v>39</v>
      </c>
      <c r="AQ32" s="54">
        <v>0</v>
      </c>
    </row>
    <row r="33" spans="3:43" ht="13.5" thickBot="1">
      <c r="C33" t="s">
        <v>212</v>
      </c>
      <c r="G33" s="37">
        <f>S210</f>
        <v>0</v>
      </c>
      <c r="I33" s="33">
        <f>G33/$G$42</f>
        <v>0</v>
      </c>
      <c r="K33" s="145">
        <f>G33/ltm_ebitda</f>
        <v>0</v>
      </c>
      <c r="M33" s="128" t="s">
        <v>157</v>
      </c>
      <c r="Q33" s="129">
        <v>0</v>
      </c>
      <c r="S33" s="4" t="s">
        <v>5</v>
      </c>
      <c r="T33" s="4"/>
      <c r="U33" s="4"/>
      <c r="V33" s="4"/>
      <c r="W33" s="4"/>
      <c r="X33" s="4"/>
      <c r="Y33" s="4"/>
      <c r="AK33" t="s">
        <v>142</v>
      </c>
      <c r="AQ33" s="119">
        <f>-I69</f>
        <v>-146.606</v>
      </c>
    </row>
    <row r="34" spans="2:43" ht="12.75">
      <c r="B34" t="s">
        <v>238</v>
      </c>
      <c r="AK34" s="120" t="s">
        <v>140</v>
      </c>
      <c r="AQ34" s="92">
        <f>SUM(AQ30:AQ33)</f>
        <v>83.394</v>
      </c>
    </row>
    <row r="35" spans="3:25" ht="12.75">
      <c r="C35" t="s">
        <v>220</v>
      </c>
      <c r="G35" s="37">
        <f>S211</f>
        <v>0</v>
      </c>
      <c r="I35" s="33">
        <f aca="true" t="shared" si="5" ref="I35:I41">G35/$G$42</f>
        <v>0</v>
      </c>
      <c r="K35" s="145">
        <f aca="true" t="shared" si="6" ref="K35:K41">G35/ltm_ebitda</f>
        <v>0</v>
      </c>
      <c r="M35" s="4" t="s">
        <v>158</v>
      </c>
      <c r="N35" s="126"/>
      <c r="O35" s="126"/>
      <c r="P35" s="126"/>
      <c r="Q35" s="126"/>
      <c r="S35" s="8" t="s">
        <v>6</v>
      </c>
      <c r="Y35" s="13">
        <v>39355</v>
      </c>
    </row>
    <row r="36" spans="3:25" ht="12.75">
      <c r="C36" t="s">
        <v>221</v>
      </c>
      <c r="G36" s="37">
        <f>S212</f>
        <v>230</v>
      </c>
      <c r="I36" s="33">
        <f t="shared" si="5"/>
        <v>0.2821246621810964</v>
      </c>
      <c r="K36" s="145">
        <f t="shared" si="6"/>
        <v>1.9071310116086242</v>
      </c>
      <c r="S36" s="8" t="s">
        <v>7</v>
      </c>
      <c r="Y36" s="13">
        <v>39538</v>
      </c>
    </row>
    <row r="37" spans="3:25" ht="12.75">
      <c r="C37" t="s">
        <v>214</v>
      </c>
      <c r="G37" s="37">
        <f>S213</f>
        <v>0</v>
      </c>
      <c r="I37" s="33">
        <f t="shared" si="5"/>
        <v>0</v>
      </c>
      <c r="K37" s="145">
        <f t="shared" si="6"/>
        <v>0</v>
      </c>
      <c r="M37" s="128" t="s">
        <v>159</v>
      </c>
      <c r="Q37" s="77">
        <v>30</v>
      </c>
      <c r="S37" s="8" t="s">
        <v>8</v>
      </c>
      <c r="Y37" s="13">
        <v>39585</v>
      </c>
    </row>
    <row r="38" spans="3:25" ht="12.75">
      <c r="C38" t="s">
        <v>240</v>
      </c>
      <c r="G38" s="37">
        <f>S215</f>
        <v>0</v>
      </c>
      <c r="I38" s="33">
        <f t="shared" si="5"/>
        <v>0</v>
      </c>
      <c r="K38" s="145">
        <f t="shared" si="6"/>
        <v>0</v>
      </c>
      <c r="M38" s="128" t="s">
        <v>160</v>
      </c>
      <c r="Q38" s="77">
        <v>100</v>
      </c>
      <c r="S38" s="8" t="s">
        <v>9</v>
      </c>
      <c r="Y38" s="13">
        <v>39660</v>
      </c>
    </row>
    <row r="39" spans="3:25" ht="12.75">
      <c r="C39" t="s">
        <v>241</v>
      </c>
      <c r="G39" s="37">
        <f>S216</f>
        <v>0</v>
      </c>
      <c r="I39" s="33">
        <f t="shared" si="5"/>
        <v>0</v>
      </c>
      <c r="K39" s="145">
        <f t="shared" si="6"/>
        <v>0</v>
      </c>
      <c r="S39" s="8" t="s">
        <v>10</v>
      </c>
      <c r="Y39" s="14">
        <f>ROUND((MONTH(Y36)-MONTH(Y35)+12*(YEAR(Y36)-YEAR(Y35))),0)</f>
        <v>6</v>
      </c>
    </row>
    <row r="40" spans="3:25" ht="12.75">
      <c r="C40" t="s">
        <v>239</v>
      </c>
      <c r="G40" s="37">
        <f>SUM(S217:S218)</f>
        <v>22.2563196575</v>
      </c>
      <c r="I40" s="33">
        <f t="shared" si="5"/>
        <v>0.02730024636855079</v>
      </c>
      <c r="K40" s="145">
        <f t="shared" si="6"/>
        <v>0.18454659749170818</v>
      </c>
      <c r="M40" s="4" t="s">
        <v>161</v>
      </c>
      <c r="N40" s="126"/>
      <c r="O40" s="126"/>
      <c r="P40" s="126"/>
      <c r="Q40" s="126"/>
      <c r="S40" s="8" t="s">
        <v>11</v>
      </c>
      <c r="Y40" s="14">
        <f>ROUND((MONTH(Y35)-MONTH(Y38)+12*(YEAR(Y35)+1-YEAR(Y38))),0)</f>
        <v>2</v>
      </c>
    </row>
    <row r="41" spans="3:25" ht="13.5" thickBot="1">
      <c r="C41" t="s">
        <v>66</v>
      </c>
      <c r="G41" s="37">
        <f>S219</f>
        <v>0</v>
      </c>
      <c r="I41" s="33">
        <f t="shared" si="5"/>
        <v>0</v>
      </c>
      <c r="K41" s="145">
        <f t="shared" si="6"/>
        <v>0</v>
      </c>
      <c r="S41" s="157" t="s">
        <v>12</v>
      </c>
      <c r="Y41" s="12">
        <f>Y40/12</f>
        <v>0.16666666666666666</v>
      </c>
    </row>
    <row r="42" spans="2:17" ht="13.5" thickBot="1">
      <c r="B42" s="10" t="s">
        <v>217</v>
      </c>
      <c r="G42" s="106">
        <f>SUM(G32:G41)</f>
        <v>815.2424471575</v>
      </c>
      <c r="H42" s="10"/>
      <c r="I42" s="155">
        <f>SUM(I32:I41)</f>
        <v>1</v>
      </c>
      <c r="J42" s="10"/>
      <c r="K42" s="156">
        <f>SUM(K32:K41)</f>
        <v>6.759887621538144</v>
      </c>
      <c r="M42" t="s">
        <v>162</v>
      </c>
      <c r="Q42" s="89">
        <v>4</v>
      </c>
    </row>
    <row r="43" ht="13.5" thickTop="1"/>
    <row r="44" spans="1:39" ht="13.5" customHeight="1" thickBot="1">
      <c r="A44" s="4" t="s">
        <v>64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K44" s="20" t="s">
        <v>67</v>
      </c>
      <c r="AL44" s="20"/>
      <c r="AM44" s="20"/>
    </row>
    <row r="45" spans="1:39" ht="12.75">
      <c r="A45" s="3" t="str">
        <f>$A$2</f>
        <v>($ in millions, except per share data)</v>
      </c>
      <c r="AK45" s="22" t="str">
        <f>Y39&amp;" Mos."</f>
        <v>6 Mos.</v>
      </c>
      <c r="AM45" s="22" t="str">
        <f>AK45</f>
        <v>6 Mos.</v>
      </c>
    </row>
    <row r="46" spans="13:39" ht="13.5" thickBot="1">
      <c r="M46" s="22" t="s">
        <v>69</v>
      </c>
      <c r="O46" s="22" t="str">
        <f>Y40&amp;" Mos."</f>
        <v>2 Mos.</v>
      </c>
      <c r="Q46" s="20" t="str">
        <f>Q150</f>
        <v>Projected Fiscal Years Ending September 30,</v>
      </c>
      <c r="R46" s="20"/>
      <c r="S46" s="20"/>
      <c r="T46" s="20"/>
      <c r="U46" s="20"/>
      <c r="V46" s="20"/>
      <c r="W46" s="20"/>
      <c r="X46" s="20"/>
      <c r="Y46" s="20"/>
      <c r="Z46" s="20"/>
      <c r="AA46" s="20"/>
      <c r="AB46" s="20"/>
      <c r="AC46" s="20"/>
      <c r="AD46" s="20"/>
      <c r="AE46" s="20"/>
      <c r="AF46" s="20"/>
      <c r="AG46" s="20"/>
      <c r="AH46" s="20"/>
      <c r="AI46" s="20"/>
      <c r="AK46" s="22" t="s">
        <v>68</v>
      </c>
      <c r="AM46" s="22" t="str">
        <f>AK46</f>
        <v>Ended</v>
      </c>
    </row>
    <row r="47" spans="11:39" ht="12.75">
      <c r="K47" s="81">
        <f>Q47-1</f>
        <v>0</v>
      </c>
      <c r="M47" s="22" t="s">
        <v>68</v>
      </c>
      <c r="O47" s="22" t="s">
        <v>242</v>
      </c>
      <c r="Q47" s="81">
        <f>Q151</f>
        <v>1</v>
      </c>
      <c r="S47" s="81">
        <f>S151</f>
        <v>2</v>
      </c>
      <c r="U47" s="81">
        <f>U151</f>
        <v>3</v>
      </c>
      <c r="W47" s="81">
        <f>W151</f>
        <v>4</v>
      </c>
      <c r="Y47" s="81">
        <f>Y151</f>
        <v>5</v>
      </c>
      <c r="AA47" s="81">
        <f>AA151</f>
        <v>6</v>
      </c>
      <c r="AC47" s="81">
        <f>AC151</f>
        <v>7</v>
      </c>
      <c r="AE47" s="81">
        <f>AE151</f>
        <v>8</v>
      </c>
      <c r="AG47" s="81">
        <f>AG151</f>
        <v>9</v>
      </c>
      <c r="AI47" s="81">
        <f>AI151</f>
        <v>10</v>
      </c>
      <c r="AK47" s="22" t="str">
        <f>TEXT(ltm_date,"mmm d")</f>
        <v>Mar 31</v>
      </c>
      <c r="AL47" s="6"/>
      <c r="AM47" s="22" t="str">
        <f>AK47</f>
        <v>Mar 31</v>
      </c>
    </row>
    <row r="48" spans="11:39" ht="13.5" thickBot="1">
      <c r="K48" s="82">
        <f>Q48-1</f>
        <v>2007</v>
      </c>
      <c r="M48" s="99">
        <f>ltm_date</f>
        <v>39538</v>
      </c>
      <c r="O48" s="97" t="str">
        <f>MONTH(fye)&amp;"/"&amp;DAY(fye)&amp;"/"&amp;YEAR(fye)+1</f>
        <v>9/30/2008</v>
      </c>
      <c r="Q48" s="82">
        <f>Q152</f>
        <v>2008</v>
      </c>
      <c r="S48" s="82">
        <f>S152</f>
        <v>2009</v>
      </c>
      <c r="U48" s="82">
        <f>U152</f>
        <v>2010</v>
      </c>
      <c r="W48" s="82">
        <f>W152</f>
        <v>2011</v>
      </c>
      <c r="Y48" s="82">
        <f>Y152</f>
        <v>2012</v>
      </c>
      <c r="AA48" s="82">
        <f>AA152</f>
        <v>2013</v>
      </c>
      <c r="AC48" s="82">
        <f>AC152</f>
        <v>2014</v>
      </c>
      <c r="AE48" s="82">
        <f>AE152</f>
        <v>2015</v>
      </c>
      <c r="AG48" s="82">
        <f>AG152</f>
        <v>2016</v>
      </c>
      <c r="AI48" s="82">
        <f>AI152</f>
        <v>2017</v>
      </c>
      <c r="AK48" s="97">
        <f>AM48-1</f>
        <v>2007</v>
      </c>
      <c r="AM48" s="97" t="str">
        <f>TEXT(ltm_date,"YYYY")</f>
        <v>2008</v>
      </c>
    </row>
    <row r="50" spans="1:39" ht="12.75">
      <c r="A50" s="10" t="s">
        <v>65</v>
      </c>
      <c r="B50" s="10"/>
      <c r="K50" s="93">
        <f>'Target P&amp;L'!K7</f>
        <v>402.5</v>
      </c>
      <c r="M50" s="30">
        <f>K50+AM50-AK50</f>
        <v>420.4</v>
      </c>
      <c r="O50" s="30">
        <f>Q50*stub</f>
        <v>76.35</v>
      </c>
      <c r="Q50" s="30">
        <f>K50*(1+Q51)</f>
        <v>458.09999999999997</v>
      </c>
      <c r="S50" s="30">
        <f>Q50*(1+S51)</f>
        <v>467.99999999999994</v>
      </c>
      <c r="U50" s="30">
        <f>S50*(1+U51)</f>
        <v>470.49999999999994</v>
      </c>
      <c r="W50" s="30">
        <f>U50*(1+W51)</f>
        <v>475.2049999999999</v>
      </c>
      <c r="Y50" s="30">
        <f>W50*(1+Y51)</f>
        <v>479.9570499999999</v>
      </c>
      <c r="AA50" s="30">
        <f>Y50*(1+AA51)</f>
        <v>484.75662049999994</v>
      </c>
      <c r="AC50" s="30">
        <f>AA50*(1+AC51)</f>
        <v>489.60418670499996</v>
      </c>
      <c r="AE50" s="30">
        <f>AC50*(1+AE51)</f>
        <v>494.50022857205</v>
      </c>
      <c r="AG50" s="30">
        <f>AE50*(1+AG51)</f>
        <v>499.44523085777047</v>
      </c>
      <c r="AI50" s="30">
        <f>AG50*(1+AI51)</f>
        <v>504.4396831663482</v>
      </c>
      <c r="AK50" s="31">
        <v>197.4</v>
      </c>
      <c r="AL50" s="10"/>
      <c r="AM50" s="31">
        <v>215.3</v>
      </c>
    </row>
    <row r="51" spans="1:39" ht="12.75">
      <c r="A51" s="19"/>
      <c r="B51" s="19" t="s">
        <v>23</v>
      </c>
      <c r="K51" s="85">
        <f>'Target P&amp;L'!I8</f>
        <v>0.026968716289104577</v>
      </c>
      <c r="M51" s="98" t="s">
        <v>24</v>
      </c>
      <c r="O51" s="98" t="s">
        <v>24</v>
      </c>
      <c r="Q51" s="67">
        <f>Q158</f>
        <v>0.1381366459627329</v>
      </c>
      <c r="S51" s="67">
        <f>S158</f>
        <v>0.0216110019646365</v>
      </c>
      <c r="U51" s="67">
        <f>U158</f>
        <v>0.005341880341880323</v>
      </c>
      <c r="W51" s="67">
        <f>W158</f>
        <v>0.01</v>
      </c>
      <c r="Y51" s="67">
        <f>Y158</f>
        <v>0.01</v>
      </c>
      <c r="AA51" s="67">
        <f>AA158</f>
        <v>0.01</v>
      </c>
      <c r="AC51" s="67">
        <f>AC158</f>
        <v>0.01</v>
      </c>
      <c r="AE51" s="67">
        <f>AE158</f>
        <v>0.01</v>
      </c>
      <c r="AG51" s="67">
        <f>AG158</f>
        <v>0.01</v>
      </c>
      <c r="AI51" s="67">
        <f>AI158</f>
        <v>0.01</v>
      </c>
      <c r="AK51" s="98" t="s">
        <v>24</v>
      </c>
      <c r="AM51" s="33">
        <f>AM50/AK50-1</f>
        <v>0.0906788247213779</v>
      </c>
    </row>
    <row r="52" spans="1:2" ht="4.5" customHeight="1">
      <c r="A52" s="19"/>
      <c r="B52" s="19"/>
    </row>
    <row r="53" spans="1:39" ht="12.75">
      <c r="A53" t="s">
        <v>25</v>
      </c>
      <c r="K53" s="96">
        <f>'Target P&amp;L'!K10</f>
        <v>207.7</v>
      </c>
      <c r="M53" s="94">
        <f>K53+AM53-AK53</f>
        <v>219.3</v>
      </c>
      <c r="O53" s="94">
        <f>Q53*stub</f>
        <v>39.93333333333333</v>
      </c>
      <c r="Q53" s="94">
        <f>Q54*Q$50</f>
        <v>239.6</v>
      </c>
      <c r="S53" s="94">
        <f>S54*S$50</f>
        <v>239.79999999999995</v>
      </c>
      <c r="U53" s="94">
        <f>U54*U$50</f>
        <v>242.19999999999993</v>
      </c>
      <c r="W53" s="94">
        <f>W54*W$50</f>
        <v>244.72199999999995</v>
      </c>
      <c r="Y53" s="94">
        <f>Y54*Y$50</f>
        <v>247.26921999999996</v>
      </c>
      <c r="AA53" s="94">
        <f>AA54*AA$50</f>
        <v>249.84191219999994</v>
      </c>
      <c r="AC53" s="94">
        <f>AC54*AC$50</f>
        <v>252.44033132199996</v>
      </c>
      <c r="AE53" s="94">
        <f>AE54*AE$50</f>
        <v>255.06473463521996</v>
      </c>
      <c r="AG53" s="94">
        <f>AG54*AG$50</f>
        <v>257.71538198157214</v>
      </c>
      <c r="AI53" s="94">
        <f>AI54*AI$50</f>
        <v>260.3925358013879</v>
      </c>
      <c r="AK53" s="38">
        <v>100.8</v>
      </c>
      <c r="AM53" s="38">
        <v>112.4</v>
      </c>
    </row>
    <row r="54" spans="1:39" ht="12.75">
      <c r="A54" s="67"/>
      <c r="B54" s="67" t="s">
        <v>26</v>
      </c>
      <c r="K54" s="67">
        <f>K53/K$50</f>
        <v>0.5160248447204968</v>
      </c>
      <c r="M54" s="67">
        <f>M53/M$50</f>
        <v>0.5216460513796385</v>
      </c>
      <c r="O54" s="67">
        <f>O53/O$50</f>
        <v>0.5230299061340319</v>
      </c>
      <c r="Q54" s="67">
        <f>Q165</f>
        <v>0.5230299061340319</v>
      </c>
      <c r="S54" s="67">
        <f>(S165*S50-$Y$29)/S50</f>
        <v>0.5123931623931623</v>
      </c>
      <c r="U54" s="67">
        <f>(U165*U50-$Y$29)/U50</f>
        <v>0.5147715196599362</v>
      </c>
      <c r="W54" s="67">
        <f>(W165*W50-$Y$29)/W50</f>
        <v>0.5149819551561957</v>
      </c>
      <c r="Y54" s="67">
        <f>(Y165*Y50-$Y$29)/Y50</f>
        <v>0.5151903071326903</v>
      </c>
      <c r="AA54" s="67">
        <f>(AA165*AA50-$Y$29)/AA50</f>
        <v>0.5153965962183285</v>
      </c>
      <c r="AC54" s="67">
        <f>(AC165*AC50-$Y$29)/AC50</f>
        <v>0.5156008428377722</v>
      </c>
      <c r="AE54" s="67">
        <f>(AE165*AE50-$Y$29)/AE50</f>
        <v>0.515803067213459</v>
      </c>
      <c r="AG54" s="67">
        <f>(AG165*AG50-$Y$29)/AG50</f>
        <v>0.5160032893676044</v>
      </c>
      <c r="AI54" s="67">
        <f>(AI165*AI50-$Y$29)/AI50</f>
        <v>0.5162015291241842</v>
      </c>
      <c r="AK54" s="33">
        <f>AK53/AK$50</f>
        <v>0.5106382978723404</v>
      </c>
      <c r="AM54" s="33">
        <f>AM53/AM$50</f>
        <v>0.5220622387366466</v>
      </c>
    </row>
    <row r="55" spans="1:39" ht="12.75">
      <c r="A55" t="s">
        <v>29</v>
      </c>
      <c r="K55" s="96">
        <f>'Target P&amp;L'!K15</f>
        <v>74.8</v>
      </c>
      <c r="M55" s="94">
        <f>K55+AM55-AK55</f>
        <v>80.5</v>
      </c>
      <c r="O55" s="94">
        <f>Q55*stub</f>
        <v>14.716666666666663</v>
      </c>
      <c r="Q55" s="94">
        <f>Q56*Q$50</f>
        <v>88.29999999999998</v>
      </c>
      <c r="S55" s="94">
        <f>S56*S$50</f>
        <v>71.69999999999999</v>
      </c>
      <c r="U55" s="94">
        <f>U56*U$50</f>
        <v>72.39999999999999</v>
      </c>
      <c r="W55" s="94">
        <f>W56*W$50</f>
        <v>73.32399999999998</v>
      </c>
      <c r="Y55" s="94">
        <f>Y56*Y$50</f>
        <v>74.25723999999998</v>
      </c>
      <c r="AA55" s="94">
        <f>AA56*AA$50</f>
        <v>75.19981239999998</v>
      </c>
      <c r="AC55" s="94">
        <f>AC56*AC$50</f>
        <v>76.151810524</v>
      </c>
      <c r="AE55" s="94">
        <f>AE56*AE$50</f>
        <v>77.11332862924</v>
      </c>
      <c r="AG55" s="94">
        <f>AG56*AG$50</f>
        <v>78.0844619155324</v>
      </c>
      <c r="AI55" s="94">
        <f>AI56*AI$50</f>
        <v>79.06530653468772</v>
      </c>
      <c r="AK55" s="38">
        <v>35.5</v>
      </c>
      <c r="AM55" s="38">
        <v>41.2</v>
      </c>
    </row>
    <row r="56" spans="1:39" ht="12.75">
      <c r="A56" s="67"/>
      <c r="B56" s="67" t="s">
        <v>26</v>
      </c>
      <c r="K56" s="67">
        <f>K55/K$50</f>
        <v>0.18583850931677018</v>
      </c>
      <c r="M56" s="67">
        <f>M55/M$50</f>
        <v>0.19148430066603236</v>
      </c>
      <c r="O56" s="67">
        <f>O55/O$50</f>
        <v>0.1927526740886269</v>
      </c>
      <c r="Q56" s="67">
        <f>Q172</f>
        <v>0.19275267408862692</v>
      </c>
      <c r="S56" s="67">
        <f>(S172*S50-$Y$30)/S50</f>
        <v>0.1532051282051282</v>
      </c>
      <c r="U56" s="67">
        <f>(U172*U50-$Y$30)/U50</f>
        <v>0.1538788522848034</v>
      </c>
      <c r="W56" s="67">
        <f>(W172*W50-$Y$30)/W50</f>
        <v>0.15429972327732241</v>
      </c>
      <c r="Y56" s="67">
        <f>(Y172*Y50-$Y$30)/Y50</f>
        <v>0.15471642723031154</v>
      </c>
      <c r="AA56" s="67">
        <f>(AA172*AA50-$Y$30)/AA50</f>
        <v>0.1551290054015879</v>
      </c>
      <c r="AC56" s="67">
        <f>(AC172*AC50-$Y$30)/AC50</f>
        <v>0.15553749864047542</v>
      </c>
      <c r="AE56" s="67">
        <f>(AE172*AE50-$Y$30)/AE50</f>
        <v>0.15594194739184916</v>
      </c>
      <c r="AG56" s="67">
        <f>(AG172*AG50-$Y$30)/AG50</f>
        <v>0.15634239170014</v>
      </c>
      <c r="AI56" s="67">
        <f>(AI172*AI50-$Y$30)/AI50</f>
        <v>0.15673887121329924</v>
      </c>
      <c r="AK56" s="33">
        <f>AK55/AK$50</f>
        <v>0.17983789260385005</v>
      </c>
      <c r="AM56" s="33">
        <f>AM55/AM$50</f>
        <v>0.19136089177891316</v>
      </c>
    </row>
    <row r="57" spans="1:39" ht="12.75">
      <c r="A57" t="s">
        <v>66</v>
      </c>
      <c r="K57" s="38">
        <v>0</v>
      </c>
      <c r="M57" s="94">
        <f>K57+AM57-AK57</f>
        <v>0</v>
      </c>
      <c r="O57" s="94">
        <f>Q57*stub</f>
        <v>0</v>
      </c>
      <c r="Q57" s="94">
        <f>Q58*Q$50</f>
        <v>0</v>
      </c>
      <c r="S57" s="94">
        <f>S58*S$50</f>
        <v>0</v>
      </c>
      <c r="U57" s="94">
        <f>U58*U$50</f>
        <v>0</v>
      </c>
      <c r="W57" s="94">
        <f>W58*W$50</f>
        <v>0</v>
      </c>
      <c r="Y57" s="94">
        <f>Y58*Y$50</f>
        <v>0</v>
      </c>
      <c r="AA57" s="94">
        <f>AA58*AA$50</f>
        <v>0</v>
      </c>
      <c r="AC57" s="94">
        <f>AC58*AC$50</f>
        <v>0</v>
      </c>
      <c r="AE57" s="94">
        <f>AE58*AE$50</f>
        <v>0</v>
      </c>
      <c r="AG57" s="94">
        <f>AG58*AG$50</f>
        <v>0</v>
      </c>
      <c r="AI57" s="94">
        <f>AI58*AI$50</f>
        <v>0</v>
      </c>
      <c r="AK57" s="38">
        <v>0</v>
      </c>
      <c r="AM57" s="38">
        <v>0</v>
      </c>
    </row>
    <row r="58" spans="1:39" ht="12.75">
      <c r="A58" s="67"/>
      <c r="B58" s="67" t="s">
        <v>26</v>
      </c>
      <c r="K58" s="67">
        <f>K57/K$50</f>
        <v>0</v>
      </c>
      <c r="M58" s="67">
        <f>M57/M$50</f>
        <v>0</v>
      </c>
      <c r="O58" s="67">
        <f>O57/O$50</f>
        <v>0</v>
      </c>
      <c r="Q58" s="67">
        <f>Q179</f>
        <v>0</v>
      </c>
      <c r="S58" s="67">
        <f>S179</f>
        <v>0</v>
      </c>
      <c r="U58" s="67">
        <f>U179</f>
        <v>0</v>
      </c>
      <c r="W58" s="67">
        <f>W179</f>
        <v>0</v>
      </c>
      <c r="Y58" s="67">
        <f>Y179</f>
        <v>0</v>
      </c>
      <c r="AA58" s="67">
        <f>AA179</f>
        <v>0</v>
      </c>
      <c r="AC58" s="67">
        <f>AC179</f>
        <v>0</v>
      </c>
      <c r="AE58" s="67">
        <f>AE179</f>
        <v>0</v>
      </c>
      <c r="AG58" s="67">
        <f>AG179</f>
        <v>0</v>
      </c>
      <c r="AI58" s="67">
        <f>AI179</f>
        <v>0</v>
      </c>
      <c r="AK58" s="33">
        <f>AK57/AK$50</f>
        <v>0</v>
      </c>
      <c r="AM58" s="33">
        <f>AM57/AM$50</f>
        <v>0</v>
      </c>
    </row>
    <row r="59" spans="1:2" ht="4.5" customHeight="1" thickBot="1">
      <c r="A59" s="67"/>
      <c r="B59" s="67"/>
    </row>
    <row r="60" spans="1:39" ht="12.75">
      <c r="A60" s="10" t="s">
        <v>30</v>
      </c>
      <c r="B60" s="10"/>
      <c r="K60" s="95">
        <f>K50-K53-K55-K57</f>
        <v>120.00000000000001</v>
      </c>
      <c r="M60" s="95">
        <f>M50-M53-M55-M57</f>
        <v>120.59999999999997</v>
      </c>
      <c r="O60" s="95">
        <f>O50-O53-O55-O57</f>
        <v>21.700000000000003</v>
      </c>
      <c r="Q60" s="95">
        <f>Q50-Q53-Q55-Q57</f>
        <v>130.2</v>
      </c>
      <c r="S60" s="95">
        <f>S50-S53-S55-S57</f>
        <v>156.5</v>
      </c>
      <c r="U60" s="95">
        <f>U50-U53-U55-U57</f>
        <v>155.90000000000003</v>
      </c>
      <c r="W60" s="95">
        <f>W50-W53-W55-W57</f>
        <v>157.159</v>
      </c>
      <c r="Y60" s="95">
        <f>Y50-Y53-Y55-Y57</f>
        <v>158.43059</v>
      </c>
      <c r="AA60" s="95">
        <f>AA50-AA53-AA55-AA57</f>
        <v>159.71489590000002</v>
      </c>
      <c r="AC60" s="95">
        <f>AC50-AC53-AC55-AC57</f>
        <v>161.012044859</v>
      </c>
      <c r="AE60" s="95">
        <f>AE50-AE53-AE55-AE57</f>
        <v>162.32216530759</v>
      </c>
      <c r="AG60" s="95">
        <f>AG50-AG53-AG55-AG57</f>
        <v>163.64538696066592</v>
      </c>
      <c r="AI60" s="95">
        <f>AI50-AI53-AI55-AI57</f>
        <v>164.98184083027255</v>
      </c>
      <c r="AK60" s="95">
        <f>AK50-AK53-AK55-AK57</f>
        <v>61.10000000000001</v>
      </c>
      <c r="AL60" s="10"/>
      <c r="AM60" s="95">
        <f>AM50-AM53-AM55-AM57</f>
        <v>61.7</v>
      </c>
    </row>
    <row r="61" spans="1:39" ht="12.75">
      <c r="A61" s="67"/>
      <c r="B61" s="67" t="s">
        <v>28</v>
      </c>
      <c r="K61" s="67">
        <f>K60/K$50</f>
        <v>0.2981366459627329</v>
      </c>
      <c r="M61" s="67">
        <f>M60/M$50</f>
        <v>0.2868696479543291</v>
      </c>
      <c r="O61" s="67">
        <f>O60/O$50</f>
        <v>0.2842174197773413</v>
      </c>
      <c r="Q61" s="67">
        <f>Q60/Q$50</f>
        <v>0.28421741977734116</v>
      </c>
      <c r="S61" s="67">
        <f>S60/S$50</f>
        <v>0.33440170940170943</v>
      </c>
      <c r="U61" s="67">
        <f>U60/U$50</f>
        <v>0.33134962805526047</v>
      </c>
      <c r="W61" s="67">
        <f>W60/W$50</f>
        <v>0.33071832156648184</v>
      </c>
      <c r="Y61" s="67">
        <f>Y60/Y$50</f>
        <v>0.3300932656369982</v>
      </c>
      <c r="AA61" s="67">
        <f>AA60/AA$50</f>
        <v>0.3294743983800837</v>
      </c>
      <c r="AC61" s="67">
        <f>AC60/AC$50</f>
        <v>0.3288616585217524</v>
      </c>
      <c r="AE61" s="67">
        <f>AE60/AE$50</f>
        <v>0.3282549853946918</v>
      </c>
      <c r="AG61" s="67">
        <f>AG60/AG$50</f>
        <v>0.32765431893225555</v>
      </c>
      <c r="AI61" s="67">
        <f>AI60/AI$50</f>
        <v>0.3270595996625166</v>
      </c>
      <c r="AK61" s="33">
        <f>AK60/AK$50</f>
        <v>0.30952380952380953</v>
      </c>
      <c r="AM61" s="33">
        <f>AM60/AM$50</f>
        <v>0.28657686948444033</v>
      </c>
    </row>
    <row r="63" spans="1:35" ht="13.5" customHeight="1">
      <c r="A63" s="4" t="s">
        <v>70</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ht="12.75">
      <c r="A64" s="3" t="str">
        <f>$A$2</f>
        <v>($ in millions, except per share data)</v>
      </c>
    </row>
    <row r="65" spans="7:35" ht="13.5" thickBot="1">
      <c r="G65" s="100" t="s">
        <v>71</v>
      </c>
      <c r="H65" s="100"/>
      <c r="I65" s="100"/>
      <c r="K65" s="100" t="s">
        <v>72</v>
      </c>
      <c r="L65" s="100"/>
      <c r="M65" s="100"/>
      <c r="O65" s="22" t="s">
        <v>73</v>
      </c>
      <c r="Q65" s="20" t="str">
        <f>Q150</f>
        <v>Projected Fiscal Years Ending September 30,</v>
      </c>
      <c r="R65" s="20"/>
      <c r="S65" s="20"/>
      <c r="T65" s="20"/>
      <c r="U65" s="20"/>
      <c r="V65" s="20"/>
      <c r="W65" s="20"/>
      <c r="X65" s="20"/>
      <c r="Y65" s="20"/>
      <c r="Z65" s="20"/>
      <c r="AA65" s="20"/>
      <c r="AB65" s="20"/>
      <c r="AC65" s="20"/>
      <c r="AD65" s="20"/>
      <c r="AE65" s="20"/>
      <c r="AF65" s="20"/>
      <c r="AG65" s="20"/>
      <c r="AH65" s="20"/>
      <c r="AI65" s="20"/>
    </row>
    <row r="66" spans="5:35" ht="12.75">
      <c r="E66" s="81"/>
      <c r="G66" s="81">
        <f>Q66-1</f>
        <v>0</v>
      </c>
      <c r="I66" s="81" t="str">
        <f>TEXT(ltm_date,"mmm d")</f>
        <v>Mar 31</v>
      </c>
      <c r="M66" s="22" t="s">
        <v>74</v>
      </c>
      <c r="O66" s="22" t="s">
        <v>75</v>
      </c>
      <c r="Q66" s="81">
        <f>Q151</f>
        <v>1</v>
      </c>
      <c r="S66" s="81">
        <f>S151</f>
        <v>2</v>
      </c>
      <c r="U66" s="81">
        <f>U151</f>
        <v>3</v>
      </c>
      <c r="W66" s="81">
        <f>W151</f>
        <v>4</v>
      </c>
      <c r="Y66" s="81">
        <f>Y151</f>
        <v>5</v>
      </c>
      <c r="AA66" s="81">
        <f>AA151</f>
        <v>6</v>
      </c>
      <c r="AC66" s="81">
        <f>AC151</f>
        <v>7</v>
      </c>
      <c r="AE66" s="81">
        <f>AE151</f>
        <v>8</v>
      </c>
      <c r="AG66" s="81">
        <f>AG151</f>
        <v>9</v>
      </c>
      <c r="AI66" s="81">
        <f>AI151</f>
        <v>10</v>
      </c>
    </row>
    <row r="67" spans="7:35" ht="13.5" thickBot="1">
      <c r="G67" s="82">
        <f>Q67-1</f>
        <v>2007</v>
      </c>
      <c r="I67" s="82" t="str">
        <f>TEXT(ltm_date,"YYYY")</f>
        <v>2008</v>
      </c>
      <c r="K67" s="82" t="s">
        <v>76</v>
      </c>
      <c r="M67" s="82" t="s">
        <v>66</v>
      </c>
      <c r="O67" s="101">
        <f>Y38</f>
        <v>39660</v>
      </c>
      <c r="Q67" s="82">
        <f>Q152</f>
        <v>2008</v>
      </c>
      <c r="S67" s="82">
        <f>S152</f>
        <v>2009</v>
      </c>
      <c r="U67" s="82">
        <f>U152</f>
        <v>2010</v>
      </c>
      <c r="W67" s="82">
        <f>W152</f>
        <v>2011</v>
      </c>
      <c r="Y67" s="82">
        <f>Y152</f>
        <v>2012</v>
      </c>
      <c r="AA67" s="82">
        <f>AA152</f>
        <v>2013</v>
      </c>
      <c r="AC67" s="82">
        <f>AC152</f>
        <v>2014</v>
      </c>
      <c r="AE67" s="82">
        <f>AE152</f>
        <v>2015</v>
      </c>
      <c r="AG67" s="82">
        <f>AG152</f>
        <v>2016</v>
      </c>
      <c r="AI67" s="82">
        <f>AI152</f>
        <v>2017</v>
      </c>
    </row>
    <row r="68" ht="12.75">
      <c r="A68" s="83" t="s">
        <v>77</v>
      </c>
    </row>
    <row r="69" spans="2:15" ht="12.75">
      <c r="B69" t="s">
        <v>78</v>
      </c>
      <c r="G69" s="77">
        <v>132.832</v>
      </c>
      <c r="I69" s="77">
        <v>146.606</v>
      </c>
      <c r="O69" s="76">
        <f>SUM(I69:M69)</f>
        <v>146.606</v>
      </c>
    </row>
    <row r="70" spans="2:15" ht="12.75">
      <c r="B70" t="s">
        <v>79</v>
      </c>
      <c r="G70" s="38">
        <f>114.132+6.038</f>
        <v>120.17</v>
      </c>
      <c r="I70" s="38">
        <v>131.443</v>
      </c>
      <c r="O70" s="94">
        <f>SUM(I70:M70)</f>
        <v>131.443</v>
      </c>
    </row>
    <row r="71" spans="2:15" ht="12.75">
      <c r="B71" t="s">
        <v>80</v>
      </c>
      <c r="G71" s="38">
        <v>0</v>
      </c>
      <c r="I71" s="38">
        <v>0</v>
      </c>
      <c r="O71" s="94">
        <f>SUM(I71:M71)</f>
        <v>0</v>
      </c>
    </row>
    <row r="72" spans="2:15" ht="12.75">
      <c r="B72" t="s">
        <v>81</v>
      </c>
      <c r="G72" s="38">
        <v>10.657</v>
      </c>
      <c r="I72" s="38">
        <v>8.828</v>
      </c>
      <c r="O72" s="94">
        <f>SUM(I72:M72)</f>
        <v>8.828</v>
      </c>
    </row>
    <row r="73" spans="2:15" ht="13.5" thickBot="1">
      <c r="B73" t="s">
        <v>82</v>
      </c>
      <c r="G73" s="38">
        <f>2.128+6.399</f>
        <v>8.527000000000001</v>
      </c>
      <c r="I73" s="38">
        <v>8.223</v>
      </c>
      <c r="O73" s="94">
        <f>SUM(I73:M73)</f>
        <v>8.223</v>
      </c>
    </row>
    <row r="74" spans="3:15" ht="12.75">
      <c r="C74" t="s">
        <v>83</v>
      </c>
      <c r="G74" s="102">
        <f>SUM(G69:G73)</f>
        <v>272.186</v>
      </c>
      <c r="I74" s="102">
        <f>SUM(I69:I73)</f>
        <v>295.09999999999997</v>
      </c>
      <c r="O74" s="102">
        <f>SUM(O69:O73)</f>
        <v>295.09999999999997</v>
      </c>
    </row>
    <row r="75" ht="4.5" customHeight="1"/>
    <row r="76" spans="2:15" ht="12.75">
      <c r="B76" t="s">
        <v>84</v>
      </c>
      <c r="G76" s="74">
        <f>G78-G77</f>
        <v>168.877</v>
      </c>
      <c r="I76" s="74">
        <f>I78-I77</f>
        <v>175.41400000000002</v>
      </c>
      <c r="O76" s="76">
        <f>SUM(I76:M76)</f>
        <v>175.41400000000002</v>
      </c>
    </row>
    <row r="77" spans="2:15" ht="13.5" thickBot="1">
      <c r="B77" t="s">
        <v>85</v>
      </c>
      <c r="G77" s="38">
        <f>-69.565-66.656</f>
        <v>-136.221</v>
      </c>
      <c r="I77" s="38">
        <f>-72.879-69.565</f>
        <v>-142.44400000000002</v>
      </c>
      <c r="O77" s="94">
        <f>SUM(I77:M77)</f>
        <v>-142.44400000000002</v>
      </c>
    </row>
    <row r="78" spans="3:15" ht="12.75">
      <c r="C78" t="s">
        <v>86</v>
      </c>
      <c r="G78" s="103">
        <v>32.656</v>
      </c>
      <c r="I78" s="103">
        <v>32.97</v>
      </c>
      <c r="O78" s="104">
        <f>SUM(O76:O77)</f>
        <v>32.97</v>
      </c>
    </row>
    <row r="79" ht="4.5" customHeight="1"/>
    <row r="80" spans="2:15" ht="12.75">
      <c r="B80" t="s">
        <v>87</v>
      </c>
      <c r="G80" s="91">
        <v>0</v>
      </c>
      <c r="I80" s="91">
        <v>0</v>
      </c>
      <c r="O80" s="105">
        <f aca="true" t="shared" si="7" ref="O80:O85">SUM(I80:M80)</f>
        <v>0</v>
      </c>
    </row>
    <row r="81" spans="2:15" ht="12.75">
      <c r="B81" t="s">
        <v>88</v>
      </c>
      <c r="G81" s="38">
        <v>0</v>
      </c>
      <c r="I81" s="38">
        <v>0</v>
      </c>
      <c r="O81" s="39">
        <f t="shared" si="7"/>
        <v>0</v>
      </c>
    </row>
    <row r="82" spans="2:15" ht="12.75">
      <c r="B82" t="s">
        <v>89</v>
      </c>
      <c r="G82" s="38">
        <v>60.745</v>
      </c>
      <c r="I82" s="38">
        <v>61.094</v>
      </c>
      <c r="O82" s="39">
        <f t="shared" si="7"/>
        <v>61.094</v>
      </c>
    </row>
    <row r="83" spans="2:15" ht="12.75">
      <c r="B83" t="s">
        <v>90</v>
      </c>
      <c r="G83" s="38">
        <f>31.526+8.649</f>
        <v>40.175</v>
      </c>
      <c r="I83" s="38">
        <v>37.491</v>
      </c>
      <c r="O83" s="39">
        <f t="shared" si="7"/>
        <v>37.491</v>
      </c>
    </row>
    <row r="84" spans="2:15" ht="12.75">
      <c r="B84" t="s">
        <v>91</v>
      </c>
      <c r="G84" s="38">
        <v>0</v>
      </c>
      <c r="I84" s="38">
        <v>0</v>
      </c>
      <c r="O84" s="39">
        <f t="shared" si="7"/>
        <v>0</v>
      </c>
    </row>
    <row r="85" spans="2:15" ht="13.5" thickBot="1">
      <c r="B85" t="s">
        <v>92</v>
      </c>
      <c r="G85" s="38">
        <f>9.453+7.173</f>
        <v>16.625999999999998</v>
      </c>
      <c r="I85" s="38">
        <v>14.29</v>
      </c>
      <c r="O85" s="39">
        <f t="shared" si="7"/>
        <v>14.29</v>
      </c>
    </row>
    <row r="86" spans="1:15" ht="13.5" thickBot="1">
      <c r="A86" s="10"/>
      <c r="B86" s="10"/>
      <c r="C86" s="10" t="s">
        <v>93</v>
      </c>
      <c r="G86" s="106">
        <f>SUM(G78:G85)+G74</f>
        <v>422.388</v>
      </c>
      <c r="I86" s="106">
        <f>SUM(I78:I85)+I74</f>
        <v>440.94499999999994</v>
      </c>
      <c r="O86" s="106">
        <f>SUM(O78:O85)+O74</f>
        <v>440.94499999999994</v>
      </c>
    </row>
    <row r="87" ht="13.5" thickTop="1"/>
    <row r="88" ht="12.75">
      <c r="A88" s="83" t="s">
        <v>94</v>
      </c>
    </row>
    <row r="89" spans="2:15" ht="12.75">
      <c r="B89" t="s">
        <v>95</v>
      </c>
      <c r="G89" s="77">
        <v>0</v>
      </c>
      <c r="I89" s="77">
        <v>0</v>
      </c>
      <c r="O89" s="107">
        <f>SUM(I89:M89)</f>
        <v>0</v>
      </c>
    </row>
    <row r="90" spans="2:15" ht="12.75">
      <c r="B90" t="s">
        <v>96</v>
      </c>
      <c r="G90" s="38">
        <v>18.429</v>
      </c>
      <c r="I90" s="38">
        <v>20.662</v>
      </c>
      <c r="O90" s="39">
        <f>SUM(I90:M90)</f>
        <v>20.662</v>
      </c>
    </row>
    <row r="91" spans="2:15" ht="12.75">
      <c r="B91" t="s">
        <v>97</v>
      </c>
      <c r="G91" s="38">
        <f>21.042</f>
        <v>21.042</v>
      </c>
      <c r="I91" s="38">
        <v>15.38</v>
      </c>
      <c r="O91" s="39">
        <f>SUM(I91:M91)</f>
        <v>15.38</v>
      </c>
    </row>
    <row r="92" spans="2:15" ht="12.75">
      <c r="B92" t="s">
        <v>98</v>
      </c>
      <c r="G92" s="38">
        <v>26.657</v>
      </c>
      <c r="I92" s="38">
        <v>0</v>
      </c>
      <c r="O92" s="39">
        <f>SUM(I92:M92)</f>
        <v>0</v>
      </c>
    </row>
    <row r="93" spans="2:15" ht="13.5" thickBot="1">
      <c r="B93" t="s">
        <v>99</v>
      </c>
      <c r="G93" s="38">
        <f>7.595+17.48</f>
        <v>25.075</v>
      </c>
      <c r="I93" s="38">
        <v>59.132999999999996</v>
      </c>
      <c r="O93" s="39">
        <f>SUM(I93:M93)</f>
        <v>59.132999999999996</v>
      </c>
    </row>
    <row r="94" spans="3:15" ht="12.75">
      <c r="C94" t="s">
        <v>100</v>
      </c>
      <c r="G94" s="108">
        <f>SUM(G89:G93)</f>
        <v>91.203</v>
      </c>
      <c r="I94" s="108">
        <f>SUM(I89:I93)</f>
        <v>95.175</v>
      </c>
      <c r="O94" s="108">
        <f>SUM(O89:O93)</f>
        <v>95.175</v>
      </c>
    </row>
    <row r="95" ht="4.5" customHeight="1"/>
    <row r="96" spans="2:15" ht="12.75">
      <c r="B96" t="s">
        <v>81</v>
      </c>
      <c r="G96" s="77">
        <v>0</v>
      </c>
      <c r="I96" s="77">
        <v>0</v>
      </c>
      <c r="O96" s="107">
        <f>SUM(I96:M96)</f>
        <v>0</v>
      </c>
    </row>
    <row r="97" spans="2:15" ht="12.75">
      <c r="B97" t="s">
        <v>101</v>
      </c>
      <c r="G97" s="38">
        <v>0</v>
      </c>
      <c r="I97" s="38">
        <v>0</v>
      </c>
      <c r="O97" s="39">
        <f>SUM(I97:M97)</f>
        <v>0</v>
      </c>
    </row>
    <row r="98" spans="2:15" ht="12.75">
      <c r="B98" t="s">
        <v>102</v>
      </c>
      <c r="G98" s="38">
        <f>9.79+4.918+3.953</f>
        <v>18.660999999999998</v>
      </c>
      <c r="I98" s="38">
        <v>17.917</v>
      </c>
      <c r="O98" s="39">
        <f>SUM(I98:M98)</f>
        <v>17.917</v>
      </c>
    </row>
    <row r="99" ht="4.5" customHeight="1"/>
    <row r="100" spans="2:15" ht="13.5" thickBot="1">
      <c r="B100" t="s">
        <v>103</v>
      </c>
      <c r="G100" s="38">
        <v>230</v>
      </c>
      <c r="I100" s="38">
        <v>230</v>
      </c>
      <c r="O100" s="39">
        <f>SUM(I100:M100)</f>
        <v>230</v>
      </c>
    </row>
    <row r="101" spans="1:15" ht="12.75">
      <c r="A101" s="24"/>
      <c r="B101" s="24"/>
      <c r="C101" s="24" t="s">
        <v>104</v>
      </c>
      <c r="G101" s="108">
        <f>SUM(G94:G100)</f>
        <v>339.86400000000003</v>
      </c>
      <c r="I101" s="108">
        <f>SUM(I94:I100)</f>
        <v>343.092</v>
      </c>
      <c r="O101" s="108">
        <f>SUM(O94:O100)</f>
        <v>343.092</v>
      </c>
    </row>
    <row r="103" ht="12.75">
      <c r="A103" s="83" t="s">
        <v>105</v>
      </c>
    </row>
    <row r="104" spans="2:15" ht="12.75">
      <c r="B104" t="s">
        <v>106</v>
      </c>
      <c r="G104" s="77">
        <v>82.524</v>
      </c>
      <c r="I104" s="77">
        <v>97.8530000000001</v>
      </c>
      <c r="O104" s="107">
        <f>SUM(I104:M104)</f>
        <v>97.8530000000001</v>
      </c>
    </row>
    <row r="105" spans="2:15" ht="12.75">
      <c r="B105" t="s">
        <v>222</v>
      </c>
      <c r="G105" s="38">
        <v>0</v>
      </c>
      <c r="I105" s="38">
        <v>0</v>
      </c>
      <c r="O105" s="39">
        <f>SUM(I105:M105)</f>
        <v>0</v>
      </c>
    </row>
    <row r="106" spans="2:15" ht="12.75">
      <c r="B106" t="s">
        <v>66</v>
      </c>
      <c r="G106" s="38">
        <v>0</v>
      </c>
      <c r="I106" s="38">
        <v>0</v>
      </c>
      <c r="O106" s="39">
        <f>SUM(I106:M106)</f>
        <v>0</v>
      </c>
    </row>
    <row r="107" spans="2:15" ht="12.75">
      <c r="B107" t="s">
        <v>107</v>
      </c>
      <c r="G107" s="38">
        <v>0</v>
      </c>
      <c r="I107" s="38">
        <v>0</v>
      </c>
      <c r="O107" s="39">
        <f>SUM(I107:M107)</f>
        <v>0</v>
      </c>
    </row>
    <row r="108" spans="2:15" ht="13.5" thickBot="1">
      <c r="B108" t="s">
        <v>108</v>
      </c>
      <c r="G108" s="38">
        <v>0</v>
      </c>
      <c r="I108" s="38">
        <v>0</v>
      </c>
      <c r="O108" s="39">
        <f>SUM(I108:M108)</f>
        <v>0</v>
      </c>
    </row>
    <row r="109" spans="3:15" ht="12.75">
      <c r="C109" t="s">
        <v>109</v>
      </c>
      <c r="G109" s="108">
        <f>SUM(G104:G108)</f>
        <v>82.524</v>
      </c>
      <c r="I109" s="108">
        <f>SUM(I104:I108)</f>
        <v>97.8530000000001</v>
      </c>
      <c r="O109" s="108">
        <f>SUM(O104:O108)</f>
        <v>97.8530000000001</v>
      </c>
    </row>
    <row r="110" ht="13.5" thickBot="1"/>
    <row r="111" spans="3:15" s="10" customFormat="1" ht="13.5" thickBot="1">
      <c r="C111" s="10" t="s">
        <v>110</v>
      </c>
      <c r="G111" s="106">
        <f>G109+G101</f>
        <v>422.38800000000003</v>
      </c>
      <c r="I111" s="106">
        <f>I109+I101</f>
        <v>440.94500000000005</v>
      </c>
      <c r="O111" s="106">
        <f>O109+O101</f>
        <v>440.94500000000005</v>
      </c>
    </row>
    <row r="112" ht="13.5" thickTop="1"/>
    <row r="113" spans="1:15" s="19" customFormat="1" ht="12.75">
      <c r="A113" s="19" t="s">
        <v>111</v>
      </c>
      <c r="G113" s="109">
        <f>G111-G86</f>
        <v>0</v>
      </c>
      <c r="I113" s="109">
        <f>I111-I86</f>
        <v>0</v>
      </c>
      <c r="O113" s="109">
        <f>O111-O86</f>
        <v>0</v>
      </c>
    </row>
    <row r="115" spans="1:35" ht="12.75">
      <c r="A115" s="4" t="s">
        <v>243</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ht="12.75">
      <c r="A116" s="3" t="str">
        <f>$A$2</f>
        <v>($ in millions, except per share data)</v>
      </c>
    </row>
    <row r="117" spans="15:35" ht="13.5" thickBot="1">
      <c r="O117" s="22" t="str">
        <f>O$46</f>
        <v>2 Mos.</v>
      </c>
      <c r="Q117" s="20" t="str">
        <f>Q$150</f>
        <v>Projected Fiscal Years Ending September 30,</v>
      </c>
      <c r="R117" s="20"/>
      <c r="S117" s="20"/>
      <c r="T117" s="20"/>
      <c r="U117" s="20"/>
      <c r="V117" s="20"/>
      <c r="W117" s="20"/>
      <c r="X117" s="20"/>
      <c r="Y117" s="20"/>
      <c r="Z117" s="20"/>
      <c r="AA117" s="20"/>
      <c r="AB117" s="20"/>
      <c r="AC117" s="20"/>
      <c r="AD117" s="20"/>
      <c r="AE117" s="20"/>
      <c r="AF117" s="20"/>
      <c r="AG117" s="20"/>
      <c r="AH117" s="20"/>
      <c r="AI117" s="20"/>
    </row>
    <row r="118" spans="15:35" ht="12.75">
      <c r="O118" s="22" t="str">
        <f>O$47</f>
        <v>Ending</v>
      </c>
      <c r="Q118" s="81">
        <f>Q$151</f>
        <v>1</v>
      </c>
      <c r="S118" s="81">
        <f>S$151</f>
        <v>2</v>
      </c>
      <c r="U118" s="81">
        <f>U$151</f>
        <v>3</v>
      </c>
      <c r="W118" s="81">
        <f>W$151</f>
        <v>4</v>
      </c>
      <c r="Y118" s="81">
        <f>Y$151</f>
        <v>5</v>
      </c>
      <c r="AA118" s="81">
        <f>AA$151</f>
        <v>6</v>
      </c>
      <c r="AC118" s="81">
        <f>AC$151</f>
        <v>7</v>
      </c>
      <c r="AE118" s="81">
        <f>AE$151</f>
        <v>8</v>
      </c>
      <c r="AG118" s="81">
        <f>AG$151</f>
        <v>9</v>
      </c>
      <c r="AI118" s="81">
        <f>AI$151</f>
        <v>10</v>
      </c>
    </row>
    <row r="119" spans="15:35" ht="13.5" thickBot="1">
      <c r="O119" s="97" t="str">
        <f>O$48</f>
        <v>9/30/2008</v>
      </c>
      <c r="Q119" s="82">
        <f>Q$152</f>
        <v>2008</v>
      </c>
      <c r="S119" s="82">
        <f>S$152</f>
        <v>2009</v>
      </c>
      <c r="U119" s="82">
        <f>U$152</f>
        <v>2010</v>
      </c>
      <c r="W119" s="82">
        <f>W$152</f>
        <v>2011</v>
      </c>
      <c r="Y119" s="82">
        <f>Y$152</f>
        <v>2012</v>
      </c>
      <c r="AA119" s="82">
        <f>AA$152</f>
        <v>2013</v>
      </c>
      <c r="AC119" s="82">
        <f>AC$152</f>
        <v>2014</v>
      </c>
      <c r="AE119" s="82">
        <f>AE$152</f>
        <v>2015</v>
      </c>
      <c r="AG119" s="82">
        <f>AG$152</f>
        <v>2016</v>
      </c>
      <c r="AI119" s="82">
        <f>AI$152</f>
        <v>2017</v>
      </c>
    </row>
    <row r="120" ht="4.5" customHeight="1"/>
    <row r="121" spans="1:35" ht="12.75">
      <c r="A121" t="s">
        <v>244</v>
      </c>
      <c r="O121" s="159">
        <f>libor</f>
        <v>0.0278</v>
      </c>
      <c r="Q121" s="127">
        <v>0.03451</v>
      </c>
      <c r="R121" s="127"/>
      <c r="S121" s="127">
        <v>0.0403</v>
      </c>
      <c r="T121" s="127"/>
      <c r="U121" s="127">
        <v>0.0436</v>
      </c>
      <c r="V121" s="127"/>
      <c r="W121" s="127">
        <v>0.0465</v>
      </c>
      <c r="X121" s="127"/>
      <c r="Y121" s="127">
        <v>0.0481</v>
      </c>
      <c r="Z121" s="127"/>
      <c r="AA121" s="127">
        <v>0.0495</v>
      </c>
      <c r="AB121" s="127"/>
      <c r="AC121" s="127">
        <v>0.0505</v>
      </c>
      <c r="AD121" s="127"/>
      <c r="AE121" s="127">
        <v>0.0508</v>
      </c>
      <c r="AF121" s="127"/>
      <c r="AG121" s="127">
        <v>0.0515</v>
      </c>
      <c r="AH121" s="127"/>
      <c r="AI121" s="127">
        <v>0.0513</v>
      </c>
    </row>
    <row r="122" spans="15:35" ht="12.75">
      <c r="O122" s="159"/>
      <c r="Q122" s="127"/>
      <c r="R122" s="127"/>
      <c r="S122" s="127"/>
      <c r="T122" s="127"/>
      <c r="U122" s="127"/>
      <c r="V122" s="127"/>
      <c r="W122" s="127"/>
      <c r="X122" s="127"/>
      <c r="Y122" s="127"/>
      <c r="Z122" s="127"/>
      <c r="AA122" s="127"/>
      <c r="AB122" s="127"/>
      <c r="AC122" s="127"/>
      <c r="AD122" s="127"/>
      <c r="AE122" s="127"/>
      <c r="AF122" s="127"/>
      <c r="AG122" s="127"/>
      <c r="AH122" s="127"/>
      <c r="AI122" s="127"/>
    </row>
    <row r="123" spans="1:35" ht="13.5" thickBot="1">
      <c r="A123" s="83" t="s">
        <v>245</v>
      </c>
      <c r="M123" s="161" t="s">
        <v>248</v>
      </c>
      <c r="O123" s="159"/>
      <c r="Q123" s="127"/>
      <c r="R123" s="127"/>
      <c r="S123" s="127"/>
      <c r="T123" s="127"/>
      <c r="U123" s="127"/>
      <c r="V123" s="127"/>
      <c r="W123" s="127"/>
      <c r="X123" s="127"/>
      <c r="Y123" s="127"/>
      <c r="Z123" s="127"/>
      <c r="AA123" s="127"/>
      <c r="AB123" s="127"/>
      <c r="AC123" s="127"/>
      <c r="AD123" s="127"/>
      <c r="AE123" s="127"/>
      <c r="AF123" s="127"/>
      <c r="AG123" s="127"/>
      <c r="AH123" s="127"/>
      <c r="AI123" s="127"/>
    </row>
    <row r="124" spans="1:35" ht="12.75">
      <c r="A124" s="83"/>
      <c r="B124" t="s">
        <v>246</v>
      </c>
      <c r="M124" s="162"/>
      <c r="O124" s="159">
        <f>AO21</f>
        <v>0.025</v>
      </c>
      <c r="Q124" s="159">
        <f>O124</f>
        <v>0.025</v>
      </c>
      <c r="R124" s="127"/>
      <c r="S124" s="159">
        <f>Q124</f>
        <v>0.025</v>
      </c>
      <c r="T124" s="127"/>
      <c r="U124" s="159">
        <f>S124</f>
        <v>0.025</v>
      </c>
      <c r="V124" s="127"/>
      <c r="W124" s="159">
        <f>U124</f>
        <v>0.025</v>
      </c>
      <c r="X124" s="127"/>
      <c r="Y124" s="159">
        <f>W124</f>
        <v>0.025</v>
      </c>
      <c r="Z124" s="127"/>
      <c r="AA124" s="159">
        <f>Y124</f>
        <v>0.025</v>
      </c>
      <c r="AB124" s="127"/>
      <c r="AC124" s="159">
        <f>AA124</f>
        <v>0.025</v>
      </c>
      <c r="AD124" s="127"/>
      <c r="AE124" s="159">
        <f>AC124</f>
        <v>0.025</v>
      </c>
      <c r="AF124" s="127"/>
      <c r="AG124" s="159">
        <f>AE124</f>
        <v>0.025</v>
      </c>
      <c r="AH124" s="127"/>
      <c r="AI124" s="159">
        <f>AG124</f>
        <v>0.025</v>
      </c>
    </row>
    <row r="125" spans="2:35" ht="12.75">
      <c r="B125" t="str">
        <f>B193</f>
        <v>Revolver</v>
      </c>
      <c r="M125" s="134">
        <v>0.0425</v>
      </c>
      <c r="O125" s="163">
        <f>$M125+O$121</f>
        <v>0.0703</v>
      </c>
      <c r="Q125" s="163">
        <f>$M125+Q$121</f>
        <v>0.07701</v>
      </c>
      <c r="R125" s="127"/>
      <c r="S125" s="163">
        <f>$M125+S$121</f>
        <v>0.08280000000000001</v>
      </c>
      <c r="T125" s="127"/>
      <c r="U125" s="163">
        <f>$M125+U$121</f>
        <v>0.08610000000000001</v>
      </c>
      <c r="V125" s="127"/>
      <c r="W125" s="163">
        <f>$M125+W$121</f>
        <v>0.089</v>
      </c>
      <c r="X125" s="127"/>
      <c r="Y125" s="163">
        <f>$M125+Y$121</f>
        <v>0.0906</v>
      </c>
      <c r="Z125" s="127"/>
      <c r="AA125" s="163">
        <f>$M125+AA$121</f>
        <v>0.092</v>
      </c>
      <c r="AB125" s="127"/>
      <c r="AC125" s="163">
        <f>$M125+AC$121</f>
        <v>0.093</v>
      </c>
      <c r="AD125" s="127"/>
      <c r="AE125" s="163">
        <f>$M125+AE$121</f>
        <v>0.0933</v>
      </c>
      <c r="AF125" s="127"/>
      <c r="AG125" s="163">
        <f>$M125+AG$121</f>
        <v>0.094</v>
      </c>
      <c r="AH125" s="127"/>
      <c r="AI125" s="163">
        <f>$M125+AI$121</f>
        <v>0.0938</v>
      </c>
    </row>
    <row r="126" spans="2:35" ht="12.75">
      <c r="B126" t="str">
        <f aca="true" t="shared" si="8" ref="B126:B133">B194</f>
        <v>Term Loan - A</v>
      </c>
      <c r="M126" s="134">
        <v>0.0479</v>
      </c>
      <c r="O126" s="163">
        <f aca="true" t="shared" si="9" ref="O126:AI128">$M126+O$121</f>
        <v>0.07569999999999999</v>
      </c>
      <c r="Q126" s="163">
        <f t="shared" si="9"/>
        <v>0.08241</v>
      </c>
      <c r="R126" s="127"/>
      <c r="S126" s="163">
        <f t="shared" si="9"/>
        <v>0.0882</v>
      </c>
      <c r="T126" s="127"/>
      <c r="U126" s="163">
        <f t="shared" si="9"/>
        <v>0.0915</v>
      </c>
      <c r="V126" s="127"/>
      <c r="W126" s="163">
        <f t="shared" si="9"/>
        <v>0.0944</v>
      </c>
      <c r="X126" s="127"/>
      <c r="Y126" s="163">
        <f t="shared" si="9"/>
        <v>0.096</v>
      </c>
      <c r="Z126" s="127"/>
      <c r="AA126" s="163">
        <f t="shared" si="9"/>
        <v>0.0974</v>
      </c>
      <c r="AB126" s="127"/>
      <c r="AC126" s="163">
        <f t="shared" si="9"/>
        <v>0.0984</v>
      </c>
      <c r="AD126" s="127"/>
      <c r="AE126" s="163">
        <f t="shared" si="9"/>
        <v>0.0987</v>
      </c>
      <c r="AF126" s="127"/>
      <c r="AG126" s="163">
        <f t="shared" si="9"/>
        <v>0.09939999999999999</v>
      </c>
      <c r="AH126" s="127"/>
      <c r="AI126" s="163">
        <f t="shared" si="9"/>
        <v>0.0992</v>
      </c>
    </row>
    <row r="127" spans="2:35" ht="12.75">
      <c r="B127" t="str">
        <f t="shared" si="8"/>
        <v>Term Loan - B</v>
      </c>
      <c r="M127" s="134">
        <v>0.06</v>
      </c>
      <c r="O127" s="163">
        <f t="shared" si="9"/>
        <v>0.08779999999999999</v>
      </c>
      <c r="Q127" s="163">
        <f t="shared" si="9"/>
        <v>0.09451</v>
      </c>
      <c r="R127" s="127"/>
      <c r="S127" s="163">
        <f t="shared" si="9"/>
        <v>0.1003</v>
      </c>
      <c r="T127" s="127"/>
      <c r="U127" s="163">
        <f t="shared" si="9"/>
        <v>0.1036</v>
      </c>
      <c r="V127" s="127"/>
      <c r="W127" s="163">
        <f t="shared" si="9"/>
        <v>0.1065</v>
      </c>
      <c r="X127" s="127"/>
      <c r="Y127" s="163">
        <f t="shared" si="9"/>
        <v>0.1081</v>
      </c>
      <c r="Z127" s="127"/>
      <c r="AA127" s="163">
        <f t="shared" si="9"/>
        <v>0.1095</v>
      </c>
      <c r="AB127" s="127"/>
      <c r="AC127" s="163">
        <f t="shared" si="9"/>
        <v>0.1105</v>
      </c>
      <c r="AD127" s="127"/>
      <c r="AE127" s="163">
        <f t="shared" si="9"/>
        <v>0.1108</v>
      </c>
      <c r="AF127" s="127"/>
      <c r="AG127" s="163">
        <f t="shared" si="9"/>
        <v>0.11149999999999999</v>
      </c>
      <c r="AH127" s="127"/>
      <c r="AI127" s="163">
        <f t="shared" si="9"/>
        <v>0.1113</v>
      </c>
    </row>
    <row r="128" spans="2:35" ht="12.75">
      <c r="B128" t="str">
        <f t="shared" si="8"/>
        <v>Senior Note</v>
      </c>
      <c r="M128" s="134">
        <v>0.065</v>
      </c>
      <c r="O128" s="163">
        <f t="shared" si="9"/>
        <v>0.0928</v>
      </c>
      <c r="Q128" s="163">
        <f t="shared" si="9"/>
        <v>0.09951</v>
      </c>
      <c r="R128" s="127"/>
      <c r="S128" s="163">
        <f t="shared" si="9"/>
        <v>0.1053</v>
      </c>
      <c r="T128" s="127"/>
      <c r="U128" s="163">
        <f t="shared" si="9"/>
        <v>0.1086</v>
      </c>
      <c r="V128" s="127"/>
      <c r="W128" s="163">
        <f t="shared" si="9"/>
        <v>0.1115</v>
      </c>
      <c r="X128" s="127"/>
      <c r="Y128" s="163">
        <f t="shared" si="9"/>
        <v>0.1131</v>
      </c>
      <c r="Z128" s="127"/>
      <c r="AA128" s="163">
        <f t="shared" si="9"/>
        <v>0.1145</v>
      </c>
      <c r="AB128" s="127"/>
      <c r="AC128" s="163">
        <f t="shared" si="9"/>
        <v>0.1155</v>
      </c>
      <c r="AD128" s="127"/>
      <c r="AE128" s="163">
        <f t="shared" si="9"/>
        <v>0.1158</v>
      </c>
      <c r="AF128" s="127"/>
      <c r="AG128" s="163">
        <f t="shared" si="9"/>
        <v>0.11649999999999999</v>
      </c>
      <c r="AH128" s="127"/>
      <c r="AI128" s="163">
        <f t="shared" si="9"/>
        <v>0.1163</v>
      </c>
    </row>
    <row r="129" spans="2:35" ht="12.75">
      <c r="B129" t="str">
        <f t="shared" si="8"/>
        <v>Subordinated Note</v>
      </c>
      <c r="O129" s="164">
        <v>0.1025</v>
      </c>
      <c r="Q129" s="159">
        <f>O129</f>
        <v>0.1025</v>
      </c>
      <c r="R129" s="127"/>
      <c r="S129" s="159">
        <f>Q129</f>
        <v>0.1025</v>
      </c>
      <c r="T129" s="127"/>
      <c r="U129" s="159">
        <f>S129</f>
        <v>0.1025</v>
      </c>
      <c r="V129" s="127"/>
      <c r="W129" s="159">
        <f>U129</f>
        <v>0.1025</v>
      </c>
      <c r="X129" s="127"/>
      <c r="Y129" s="159">
        <f>W129</f>
        <v>0.1025</v>
      </c>
      <c r="Z129" s="127"/>
      <c r="AA129" s="159">
        <f>Y129</f>
        <v>0.1025</v>
      </c>
      <c r="AB129" s="127"/>
      <c r="AC129" s="159">
        <f>AA129</f>
        <v>0.1025</v>
      </c>
      <c r="AD129" s="127"/>
      <c r="AE129" s="159">
        <f>AC129</f>
        <v>0.1025</v>
      </c>
      <c r="AF129" s="127"/>
      <c r="AG129" s="159">
        <f>AE129</f>
        <v>0.1025</v>
      </c>
      <c r="AH129" s="127"/>
      <c r="AI129" s="159">
        <f>AG129</f>
        <v>0.1025</v>
      </c>
    </row>
    <row r="130" spans="2:35" ht="12.75">
      <c r="B130" t="str">
        <f t="shared" si="8"/>
        <v>Mezzanine</v>
      </c>
      <c r="O130" s="164">
        <v>0.105</v>
      </c>
      <c r="Q130" s="159">
        <f aca="true" t="shared" si="10" ref="Q130:AI133">O130</f>
        <v>0.105</v>
      </c>
      <c r="R130" s="127"/>
      <c r="S130" s="159">
        <f t="shared" si="10"/>
        <v>0.105</v>
      </c>
      <c r="T130" s="127"/>
      <c r="U130" s="159">
        <f t="shared" si="10"/>
        <v>0.105</v>
      </c>
      <c r="V130" s="127"/>
      <c r="W130" s="159">
        <f t="shared" si="10"/>
        <v>0.105</v>
      </c>
      <c r="X130" s="127"/>
      <c r="Y130" s="159">
        <f t="shared" si="10"/>
        <v>0.105</v>
      </c>
      <c r="Z130" s="127"/>
      <c r="AA130" s="159">
        <f t="shared" si="10"/>
        <v>0.105</v>
      </c>
      <c r="AB130" s="127"/>
      <c r="AC130" s="159">
        <f t="shared" si="10"/>
        <v>0.105</v>
      </c>
      <c r="AD130" s="127"/>
      <c r="AE130" s="159">
        <f t="shared" si="10"/>
        <v>0.105</v>
      </c>
      <c r="AF130" s="127"/>
      <c r="AG130" s="159">
        <f t="shared" si="10"/>
        <v>0.105</v>
      </c>
      <c r="AH130" s="127"/>
      <c r="AI130" s="159">
        <f t="shared" si="10"/>
        <v>0.105</v>
      </c>
    </row>
    <row r="131" spans="2:35" ht="12.75">
      <c r="B131" t="str">
        <f t="shared" si="8"/>
        <v>Seller Note</v>
      </c>
      <c r="O131" s="164">
        <v>0.105</v>
      </c>
      <c r="Q131" s="159">
        <f t="shared" si="10"/>
        <v>0.105</v>
      </c>
      <c r="R131" s="127"/>
      <c r="S131" s="159">
        <f t="shared" si="10"/>
        <v>0.105</v>
      </c>
      <c r="T131" s="127"/>
      <c r="U131" s="159">
        <f t="shared" si="10"/>
        <v>0.105</v>
      </c>
      <c r="V131" s="127"/>
      <c r="W131" s="159">
        <f t="shared" si="10"/>
        <v>0.105</v>
      </c>
      <c r="X131" s="127"/>
      <c r="Y131" s="159">
        <f t="shared" si="10"/>
        <v>0.105</v>
      </c>
      <c r="Z131" s="127"/>
      <c r="AA131" s="159">
        <f t="shared" si="10"/>
        <v>0.105</v>
      </c>
      <c r="AB131" s="127"/>
      <c r="AC131" s="159">
        <f t="shared" si="10"/>
        <v>0.105</v>
      </c>
      <c r="AD131" s="127"/>
      <c r="AE131" s="159">
        <f t="shared" si="10"/>
        <v>0.105</v>
      </c>
      <c r="AF131" s="127"/>
      <c r="AG131" s="159">
        <f t="shared" si="10"/>
        <v>0.105</v>
      </c>
      <c r="AH131" s="127"/>
      <c r="AI131" s="159">
        <f t="shared" si="10"/>
        <v>0.105</v>
      </c>
    </row>
    <row r="132" spans="2:35" ht="12.75">
      <c r="B132" t="str">
        <f t="shared" si="8"/>
        <v>Preferred Stock - A</v>
      </c>
      <c r="O132" s="164">
        <v>0.14</v>
      </c>
      <c r="Q132" s="159">
        <f t="shared" si="10"/>
        <v>0.14</v>
      </c>
      <c r="S132" s="159">
        <f t="shared" si="10"/>
        <v>0.14</v>
      </c>
      <c r="U132" s="159">
        <f t="shared" si="10"/>
        <v>0.14</v>
      </c>
      <c r="W132" s="159">
        <f t="shared" si="10"/>
        <v>0.14</v>
      </c>
      <c r="Y132" s="159">
        <f t="shared" si="10"/>
        <v>0.14</v>
      </c>
      <c r="AA132" s="159">
        <f t="shared" si="10"/>
        <v>0.14</v>
      </c>
      <c r="AC132" s="159">
        <f t="shared" si="10"/>
        <v>0.14</v>
      </c>
      <c r="AE132" s="159">
        <f t="shared" si="10"/>
        <v>0.14</v>
      </c>
      <c r="AG132" s="159">
        <f t="shared" si="10"/>
        <v>0.14</v>
      </c>
      <c r="AI132" s="159">
        <f t="shared" si="10"/>
        <v>0.14</v>
      </c>
    </row>
    <row r="133" spans="2:35" ht="12.75">
      <c r="B133" t="str">
        <f t="shared" si="8"/>
        <v>Preferred Stock - B</v>
      </c>
      <c r="O133" s="164">
        <v>0.1425</v>
      </c>
      <c r="Q133" s="159">
        <f t="shared" si="10"/>
        <v>0.1425</v>
      </c>
      <c r="S133" s="159">
        <f t="shared" si="10"/>
        <v>0.1425</v>
      </c>
      <c r="U133" s="159">
        <f t="shared" si="10"/>
        <v>0.1425</v>
      </c>
      <c r="W133" s="159">
        <f t="shared" si="10"/>
        <v>0.1425</v>
      </c>
      <c r="Y133" s="159">
        <f t="shared" si="10"/>
        <v>0.1425</v>
      </c>
      <c r="AA133" s="159">
        <f t="shared" si="10"/>
        <v>0.1425</v>
      </c>
      <c r="AC133" s="159">
        <f t="shared" si="10"/>
        <v>0.1425</v>
      </c>
      <c r="AE133" s="159">
        <f t="shared" si="10"/>
        <v>0.1425</v>
      </c>
      <c r="AG133" s="159">
        <f t="shared" si="10"/>
        <v>0.1425</v>
      </c>
      <c r="AI133" s="159">
        <f t="shared" si="10"/>
        <v>0.1425</v>
      </c>
    </row>
    <row r="135" spans="2:7" ht="12.75">
      <c r="B135" t="s">
        <v>247</v>
      </c>
      <c r="G135" s="127">
        <v>0.005</v>
      </c>
    </row>
    <row r="137" ht="12.75">
      <c r="A137" s="83" t="s">
        <v>250</v>
      </c>
    </row>
    <row r="138" spans="5:13" ht="12.75">
      <c r="E138" s="110" t="s">
        <v>251</v>
      </c>
      <c r="G138" s="110" t="s">
        <v>252</v>
      </c>
      <c r="M138" s="6"/>
    </row>
    <row r="139" spans="5:13" ht="13.5" thickBot="1">
      <c r="E139" s="161" t="s">
        <v>253</v>
      </c>
      <c r="G139" s="161" t="s">
        <v>254</v>
      </c>
      <c r="I139" s="161" t="s">
        <v>255</v>
      </c>
      <c r="K139" s="161" t="s">
        <v>256</v>
      </c>
      <c r="M139" s="161" t="s">
        <v>257</v>
      </c>
    </row>
    <row r="140" spans="2:35" ht="12.75">
      <c r="B140" t="s">
        <v>246</v>
      </c>
      <c r="E140" s="37">
        <f>S191</f>
        <v>230</v>
      </c>
      <c r="G140" s="166">
        <v>0</v>
      </c>
      <c r="I140" s="129">
        <v>0</v>
      </c>
      <c r="J140" s="6"/>
      <c r="K140" s="167">
        <v>5</v>
      </c>
      <c r="L140" s="6"/>
      <c r="M140" s="167">
        <v>0</v>
      </c>
      <c r="O140" s="168">
        <f aca="true" t="shared" si="11" ref="O140:O146">stub*G140</f>
        <v>0</v>
      </c>
      <c r="Q140" s="168">
        <f>O140</f>
        <v>0</v>
      </c>
      <c r="S140" s="168">
        <f>IF(S$118&lt;=$K140,MIN($G140,1-SUM($Q140:Q140)),1-SUM($Q140:Q140))</f>
        <v>0</v>
      </c>
      <c r="U140" s="168">
        <f>IF(U$118&lt;=$K140,MIN($G140,1-SUM($Q140:S140)),1-SUM($Q140:S140))</f>
        <v>0</v>
      </c>
      <c r="W140" s="168">
        <f>IF(W$118&lt;=$K140,MIN($G140,1-SUM($Q140:U140)),1-SUM($Q140:U140))</f>
        <v>0</v>
      </c>
      <c r="Y140" s="168">
        <f>IF(Y$118&lt;=$K140,MIN($G140,1-SUM($Q140:W140)),1-SUM($Q140:W140))</f>
        <v>0</v>
      </c>
      <c r="AA140" s="168">
        <f>IF(AA$118&lt;=$K140,MIN($G140,1-SUM($Q140:Y140)),1-SUM($Q140:Y140))</f>
        <v>1</v>
      </c>
      <c r="AC140" s="168">
        <f>IF(AC$118&lt;=$K140,MIN($G140,1-SUM($Q140:AA140)),1-SUM($Q140:AA140))</f>
        <v>0</v>
      </c>
      <c r="AE140" s="168">
        <f>IF(AE$118&lt;=$K140,MIN($G140,1-SUM($Q140:AC140)),1-SUM($Q140:AC140))</f>
        <v>0</v>
      </c>
      <c r="AG140" s="168">
        <f>IF(AG$118&lt;=$K140,MIN($G140,1-SUM($Q140:AE140)),1-SUM($Q140:AE140))</f>
        <v>0</v>
      </c>
      <c r="AI140" s="168">
        <f>IF(AI$118&lt;=$K140,MIN($G140,1-SUM($Q140:AG140)),1-SUM($Q140:AG140))</f>
        <v>0</v>
      </c>
    </row>
    <row r="141" spans="2:35" ht="12.75">
      <c r="B141" t="str">
        <f>B194</f>
        <v>Term Loan - A</v>
      </c>
      <c r="E141" s="37">
        <f>S194</f>
        <v>150</v>
      </c>
      <c r="G141" s="35">
        <f>1/5</f>
        <v>0.2</v>
      </c>
      <c r="I141" s="129">
        <v>1</v>
      </c>
      <c r="J141" s="6"/>
      <c r="K141" s="167">
        <v>5</v>
      </c>
      <c r="L141" s="6"/>
      <c r="M141" s="167">
        <v>0</v>
      </c>
      <c r="O141" s="168">
        <f t="shared" si="11"/>
        <v>0.03333333333333333</v>
      </c>
      <c r="Q141" s="168">
        <f aca="true" t="shared" si="12" ref="Q141:Q146">O141</f>
        <v>0.03333333333333333</v>
      </c>
      <c r="S141" s="168">
        <f>IF(S$118&lt;=$K141,MIN($G141,1-SUM($Q141:Q141)),1-SUM($Q141:Q141))</f>
        <v>0.2</v>
      </c>
      <c r="U141" s="168">
        <f>IF(U$118&lt;=$K141,MIN($G141,1-SUM($Q141:S141)),1-SUM($Q141:S141))</f>
        <v>0.2</v>
      </c>
      <c r="W141" s="168">
        <f>IF(W$118&lt;=$K141,MIN($G141,1-SUM($Q141:U141)),1-SUM($Q141:U141))</f>
        <v>0.2</v>
      </c>
      <c r="Y141" s="168">
        <f>IF(Y$118&lt;=$K141,MIN($G141,1-SUM($Q141:W141)),1-SUM($Q141:W141))</f>
        <v>0.2</v>
      </c>
      <c r="AA141" s="168">
        <f>IF(AA$118&lt;=$K141,MIN($G141,1-SUM($Q141:Y141)),1-SUM($Q141:Y141))</f>
        <v>0.16666666666666674</v>
      </c>
      <c r="AC141" s="168">
        <f>IF(AC$118&lt;=$K141,MIN($G141,1-SUM($Q141:AA141)),1-SUM($Q141:AA141))</f>
        <v>0</v>
      </c>
      <c r="AE141" s="168">
        <f>IF(AE$118&lt;=$K141,MIN($G141,1-SUM($Q141:AC141)),1-SUM($Q141:AC141))</f>
        <v>0</v>
      </c>
      <c r="AG141" s="168">
        <f>IF(AG$118&lt;=$K141,MIN($G141,1-SUM($Q141:AE141)),1-SUM($Q141:AE141))</f>
        <v>0</v>
      </c>
      <c r="AI141" s="168">
        <f>IF(AI$118&lt;=$K141,MIN($G141,1-SUM($Q141:AG141)),1-SUM($Q141:AG141))</f>
        <v>0</v>
      </c>
    </row>
    <row r="142" spans="2:35" ht="12.75">
      <c r="B142" t="str">
        <f>B195</f>
        <v>Term Loan - B</v>
      </c>
      <c r="E142" s="37">
        <f>S195</f>
        <v>0</v>
      </c>
      <c r="G142" s="35">
        <v>0.05</v>
      </c>
      <c r="I142" s="129">
        <v>1</v>
      </c>
      <c r="J142" s="6"/>
      <c r="K142" s="167">
        <v>6</v>
      </c>
      <c r="L142" s="6"/>
      <c r="M142" s="167">
        <v>0</v>
      </c>
      <c r="O142" s="168">
        <f t="shared" si="11"/>
        <v>0.008333333333333333</v>
      </c>
      <c r="Q142" s="168">
        <f t="shared" si="12"/>
        <v>0.008333333333333333</v>
      </c>
      <c r="S142" s="168">
        <f>IF(S$118&lt;=$K142,MIN($G142,1-SUM($Q142:Q142)),1-SUM($Q142:Q142))</f>
        <v>0.05</v>
      </c>
      <c r="U142" s="168">
        <f>IF(U$118&lt;=$K142,MIN($G142,1-SUM($Q142:S142)),1-SUM($Q142:S142))</f>
        <v>0.05</v>
      </c>
      <c r="W142" s="168">
        <f>IF(W$118&lt;=$K142,MIN($G142,1-SUM($Q142:U142)),1-SUM($Q142:U142))</f>
        <v>0.05</v>
      </c>
      <c r="Y142" s="168">
        <f>IF(Y$118&lt;=$K142,MIN($G142,1-SUM($Q142:W142)),1-SUM($Q142:W142))</f>
        <v>0.05</v>
      </c>
      <c r="AA142" s="168">
        <f>IF(AA$118&lt;=$K142,MIN($G142,1-SUM($Q142:Y142)),1-SUM($Q142:Y142))</f>
        <v>0.05</v>
      </c>
      <c r="AC142" s="168">
        <f>IF(AC$118&lt;=$K142,MIN($G142,1-SUM($Q142:AA142)),1-SUM($Q142:AA142))</f>
        <v>0.7416666666666667</v>
      </c>
      <c r="AE142" s="168">
        <f>IF(AE$118&lt;=$K142,MIN($G142,1-SUM($Q142:AC142)),1-SUM($Q142:AC142))</f>
        <v>0</v>
      </c>
      <c r="AG142" s="168">
        <f>IF(AG$118&lt;=$K142,MIN($G142,1-SUM($Q142:AE142)),1-SUM($Q142:AE142))</f>
        <v>0</v>
      </c>
      <c r="AI142" s="168">
        <f>IF(AI$118&lt;=$K142,MIN($G142,1-SUM($Q142:AG142)),1-SUM($Q142:AG142))</f>
        <v>0</v>
      </c>
    </row>
    <row r="143" spans="2:35" ht="12.75">
      <c r="B143" t="str">
        <f>B196</f>
        <v>Senior Note</v>
      </c>
      <c r="E143" s="37">
        <f>S196</f>
        <v>75</v>
      </c>
      <c r="G143" s="35">
        <v>0</v>
      </c>
      <c r="I143" s="129">
        <v>0</v>
      </c>
      <c r="J143" s="6"/>
      <c r="K143" s="167">
        <v>4</v>
      </c>
      <c r="L143" s="6"/>
      <c r="M143" s="167">
        <v>0</v>
      </c>
      <c r="O143" s="168">
        <f t="shared" si="11"/>
        <v>0</v>
      </c>
      <c r="Q143" s="168">
        <f t="shared" si="12"/>
        <v>0</v>
      </c>
      <c r="S143" s="168">
        <f>IF(S$118&lt;=$K143,MIN($G143,1-SUM($Q143:Q143)),1-SUM($Q143:Q143))</f>
        <v>0</v>
      </c>
      <c r="U143" s="168">
        <f>IF(U$118&lt;=$K143,MIN($G143,1-SUM($Q143:S143)),1-SUM($Q143:S143))</f>
        <v>0</v>
      </c>
      <c r="W143" s="168">
        <f>IF(W$118&lt;=$K143,MIN($G143,1-SUM($Q143:U143)),1-SUM($Q143:U143))</f>
        <v>0</v>
      </c>
      <c r="Y143" s="168">
        <f>IF(Y$118&lt;=$K143,MIN($G143,1-SUM($Q143:W143)),1-SUM($Q143:W143))</f>
        <v>1</v>
      </c>
      <c r="AA143" s="168">
        <f>IF(AA$118&lt;=$K143,MIN($G143,1-SUM($Q143:Y143)),1-SUM($Q143:Y143))</f>
        <v>0</v>
      </c>
      <c r="AC143" s="168">
        <f>IF(AC$118&lt;=$K143,MIN($G143,1-SUM($Q143:AA143)),1-SUM($Q143:AA143))</f>
        <v>0</v>
      </c>
      <c r="AE143" s="168">
        <f>IF(AE$118&lt;=$K143,MIN($G143,1-SUM($Q143:AC143)),1-SUM($Q143:AC143))</f>
        <v>0</v>
      </c>
      <c r="AG143" s="168">
        <f>IF(AG$118&lt;=$K143,MIN($G143,1-SUM($Q143:AE143)),1-SUM($Q143:AE143))</f>
        <v>0</v>
      </c>
      <c r="AI143" s="168">
        <f>IF(AI$118&lt;=$K143,MIN($G143,1-SUM($Q143:AG143)),1-SUM($Q143:AG143))</f>
        <v>0</v>
      </c>
    </row>
    <row r="144" spans="2:35" ht="12.75">
      <c r="B144" t="str">
        <f>B197</f>
        <v>Subordinated Note</v>
      </c>
      <c r="E144" s="37">
        <f>S197</f>
        <v>0</v>
      </c>
      <c r="G144" s="35">
        <v>0</v>
      </c>
      <c r="I144" s="129">
        <v>0</v>
      </c>
      <c r="J144" s="6"/>
      <c r="K144" s="167">
        <v>4</v>
      </c>
      <c r="L144" s="6"/>
      <c r="M144" s="167">
        <v>5</v>
      </c>
      <c r="O144" s="168">
        <f t="shared" si="11"/>
        <v>0</v>
      </c>
      <c r="Q144" s="168">
        <f t="shared" si="12"/>
        <v>0</v>
      </c>
      <c r="S144" s="168">
        <f>IF(S$118&lt;=$K144,MIN($G144,1-SUM($Q144:Q144)),1-SUM($Q144:Q144))</f>
        <v>0</v>
      </c>
      <c r="U144" s="168">
        <f>IF(U$118&lt;=$K144,MIN($G144,1-SUM($Q144:S144)),1-SUM($Q144:S144))</f>
        <v>0</v>
      </c>
      <c r="W144" s="168">
        <f>IF(W$118&lt;=$K144,MIN($G144,1-SUM($Q144:U144)),1-SUM($Q144:U144))</f>
        <v>0</v>
      </c>
      <c r="Y144" s="168">
        <f>IF(Y$118&lt;=$K144,MIN($G144,1-SUM($Q144:W144)),1-SUM($Q144:W144))</f>
        <v>1</v>
      </c>
      <c r="AA144" s="168">
        <f>IF(AA$118&lt;=$K144,MIN($G144,1-SUM($Q144:Y144)),1-SUM($Q144:Y144))</f>
        <v>0</v>
      </c>
      <c r="AC144" s="168">
        <f>IF(AC$118&lt;=$K144,MIN($G144,1-SUM($Q144:AA144)),1-SUM($Q144:AA144))</f>
        <v>0</v>
      </c>
      <c r="AE144" s="168">
        <f>IF(AE$118&lt;=$K144,MIN($G144,1-SUM($Q144:AC144)),1-SUM($Q144:AC144))</f>
        <v>0</v>
      </c>
      <c r="AG144" s="168">
        <f>IF(AG$118&lt;=$K144,MIN($G144,1-SUM($Q144:AE144)),1-SUM($Q144:AE144))</f>
        <v>0</v>
      </c>
      <c r="AI144" s="168">
        <f>IF(AI$118&lt;=$K144,MIN($G144,1-SUM($Q144:AG144)),1-SUM($Q144:AG144))</f>
        <v>0</v>
      </c>
    </row>
    <row r="145" spans="2:35" ht="12.75">
      <c r="B145" t="str">
        <f>B198</f>
        <v>Mezzanine</v>
      </c>
      <c r="E145" s="37">
        <f>S198</f>
        <v>0</v>
      </c>
      <c r="G145" s="35">
        <v>0</v>
      </c>
      <c r="I145" s="129">
        <v>0</v>
      </c>
      <c r="J145" s="6"/>
      <c r="K145" s="167">
        <v>0</v>
      </c>
      <c r="L145" s="6"/>
      <c r="M145" s="167">
        <v>0</v>
      </c>
      <c r="O145" s="168">
        <f t="shared" si="11"/>
        <v>0</v>
      </c>
      <c r="Q145" s="168">
        <f t="shared" si="12"/>
        <v>0</v>
      </c>
      <c r="S145" s="168">
        <f>IF(S$118&lt;=$K145,MIN($G145,1-SUM($Q145:Q145)),1-SUM($Q145:Q145))</f>
        <v>1</v>
      </c>
      <c r="U145" s="168">
        <f>IF(U$118&lt;=$K145,MIN($G145,1-SUM($Q145:S145)),1-SUM($Q145:S145))</f>
        <v>0</v>
      </c>
      <c r="W145" s="168">
        <f>IF(W$118&lt;=$K145,MIN($G145,1-SUM($Q145:U145)),1-SUM($Q145:U145))</f>
        <v>0</v>
      </c>
      <c r="Y145" s="168">
        <f>IF(Y$118&lt;=$K145,MIN($G145,1-SUM($Q145:W145)),1-SUM($Q145:W145))</f>
        <v>0</v>
      </c>
      <c r="AA145" s="168">
        <f>IF(AA$118&lt;=$K145,MIN($G145,1-SUM($Q145:Y145)),1-SUM($Q145:Y145))</f>
        <v>0</v>
      </c>
      <c r="AC145" s="168">
        <f>IF(AC$118&lt;=$K145,MIN($G145,1-SUM($Q145:AA145)),1-SUM($Q145:AA145))</f>
        <v>0</v>
      </c>
      <c r="AE145" s="168">
        <f>IF(AE$118&lt;=$K145,MIN($G145,1-SUM($Q145:AC145)),1-SUM($Q145:AC145))</f>
        <v>0</v>
      </c>
      <c r="AG145" s="168">
        <f>IF(AG$118&lt;=$K145,MIN($G145,1-SUM($Q145:AE145)),1-SUM($Q145:AE145))</f>
        <v>0</v>
      </c>
      <c r="AI145" s="168">
        <f>IF(AI$118&lt;=$K145,MIN($G145,1-SUM($Q145:AG145)),1-SUM($Q145:AG145))</f>
        <v>0</v>
      </c>
    </row>
    <row r="146" spans="2:35" ht="12.75">
      <c r="B146" t="str">
        <f>B199</f>
        <v>Seller Note</v>
      </c>
      <c r="E146" s="37">
        <f>S199</f>
        <v>0</v>
      </c>
      <c r="G146" s="35">
        <v>0</v>
      </c>
      <c r="I146" s="129">
        <v>1</v>
      </c>
      <c r="J146" s="6"/>
      <c r="K146" s="167">
        <v>8</v>
      </c>
      <c r="L146" s="6"/>
      <c r="M146" s="167">
        <v>2</v>
      </c>
      <c r="O146" s="168">
        <f t="shared" si="11"/>
        <v>0</v>
      </c>
      <c r="Q146" s="168">
        <f t="shared" si="12"/>
        <v>0</v>
      </c>
      <c r="S146" s="168">
        <f>IF(S$118&lt;=$K146,MIN($G146,1-SUM($Q146:Q146)),1-SUM($Q146:Q146))</f>
        <v>0</v>
      </c>
      <c r="U146" s="168">
        <f>IF(U$118&lt;=$K146,MIN($G146,1-SUM($Q146:S146)),1-SUM($Q146:S146))</f>
        <v>0</v>
      </c>
      <c r="W146" s="168">
        <f>IF(W$118&lt;=$K146,MIN($G146,1-SUM($Q146:U146)),1-SUM($Q146:U146))</f>
        <v>0</v>
      </c>
      <c r="Y146" s="168">
        <f>IF(Y$118&lt;=$K146,MIN($G146,1-SUM($Q146:W146)),1-SUM($Q146:W146))</f>
        <v>0</v>
      </c>
      <c r="AA146" s="168">
        <f>IF(AA$118&lt;=$K146,MIN($G146,1-SUM($Q146:Y146)),1-SUM($Q146:Y146))</f>
        <v>0</v>
      </c>
      <c r="AC146" s="168">
        <f>IF(AC$118&lt;=$K146,MIN($G146,1-SUM($Q146:AA146)),1-SUM($Q146:AA146))</f>
        <v>0</v>
      </c>
      <c r="AE146" s="168">
        <f>IF(AE$118&lt;=$K146,MIN($G146,1-SUM($Q146:AC146)),1-SUM($Q146:AC146))</f>
        <v>0</v>
      </c>
      <c r="AG146" s="168">
        <f>IF(AG$118&lt;=$K146,MIN($G146,1-SUM($Q146:AE146)),1-SUM($Q146:AE146))</f>
        <v>1</v>
      </c>
      <c r="AI146" s="168">
        <f>IF(AI$118&lt;=$K146,MIN($G146,1-SUM($Q146:AG146)),1-SUM($Q146:AG146))</f>
        <v>0</v>
      </c>
    </row>
    <row r="148" spans="1:35" ht="12.75">
      <c r="A148" s="4" t="s">
        <v>52</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ht="12.75">
      <c r="A149" s="3" t="str">
        <f>$A$2</f>
        <v>($ in millions, except per share data)</v>
      </c>
    </row>
    <row r="150" spans="17:35" ht="13.5" customHeight="1" thickBot="1">
      <c r="Q150" s="20" t="str">
        <f>"Projected Fiscal Years Ending "&amp;TEXT(fye,"mmmm dd")&amp;","</f>
        <v>Projected Fiscal Years Ending September 30,</v>
      </c>
      <c r="R150" s="20"/>
      <c r="S150" s="20"/>
      <c r="T150" s="20"/>
      <c r="U150" s="20"/>
      <c r="V150" s="20"/>
      <c r="W150" s="20"/>
      <c r="X150" s="20"/>
      <c r="Y150" s="20"/>
      <c r="Z150" s="20"/>
      <c r="AA150" s="20"/>
      <c r="AB150" s="20"/>
      <c r="AC150" s="20"/>
      <c r="AD150" s="20"/>
      <c r="AE150" s="20"/>
      <c r="AF150" s="20"/>
      <c r="AG150" s="20"/>
      <c r="AH150" s="20"/>
      <c r="AI150" s="20"/>
    </row>
    <row r="151" spans="17:35" ht="12.75">
      <c r="Q151" s="87">
        <v>1</v>
      </c>
      <c r="S151" s="81">
        <f>Q151+1</f>
        <v>2</v>
      </c>
      <c r="U151" s="81">
        <f>S151+1</f>
        <v>3</v>
      </c>
      <c r="W151" s="81">
        <f>U151+1</f>
        <v>4</v>
      </c>
      <c r="Y151" s="81">
        <f>W151+1</f>
        <v>5</v>
      </c>
      <c r="AA151" s="81">
        <f>Y151+1</f>
        <v>6</v>
      </c>
      <c r="AC151" s="81">
        <f>AA151+1</f>
        <v>7</v>
      </c>
      <c r="AE151" s="81">
        <f>AC151+1</f>
        <v>8</v>
      </c>
      <c r="AG151" s="81">
        <f>AE151+1</f>
        <v>9</v>
      </c>
      <c r="AI151" s="81">
        <f>AG151+1</f>
        <v>10</v>
      </c>
    </row>
    <row r="152" spans="17:35" ht="13.5" customHeight="1" thickBot="1">
      <c r="Q152" s="88">
        <f>'Target P&amp;L'!M5</f>
        <v>2008</v>
      </c>
      <c r="S152" s="82">
        <f>Q152+1</f>
        <v>2009</v>
      </c>
      <c r="U152" s="82">
        <f>S152+1</f>
        <v>2010</v>
      </c>
      <c r="W152" s="82">
        <f>U152+1</f>
        <v>2011</v>
      </c>
      <c r="Y152" s="82">
        <f>W152+1</f>
        <v>2012</v>
      </c>
      <c r="AA152" s="82">
        <f>Y152+1</f>
        <v>2013</v>
      </c>
      <c r="AC152" s="82">
        <f>AA152+1</f>
        <v>2014</v>
      </c>
      <c r="AE152" s="82">
        <f>AC152+1</f>
        <v>2015</v>
      </c>
      <c r="AG152" s="82">
        <f>AE152+1</f>
        <v>2016</v>
      </c>
      <c r="AI152" s="82">
        <f>AG152+1</f>
        <v>2017</v>
      </c>
    </row>
    <row r="153" ht="12.75">
      <c r="A153" s="83" t="s">
        <v>53</v>
      </c>
    </row>
    <row r="154" spans="2:35" ht="12.75">
      <c r="B154" s="84" t="s">
        <v>54</v>
      </c>
      <c r="Q154" s="35">
        <v>0.14</v>
      </c>
      <c r="S154" s="35">
        <v>0.045</v>
      </c>
      <c r="U154" s="35">
        <v>0.036</v>
      </c>
      <c r="W154" s="35">
        <v>0.024</v>
      </c>
      <c r="Y154" s="35">
        <v>0.024</v>
      </c>
      <c r="AA154" s="35">
        <v>0.024</v>
      </c>
      <c r="AC154" s="35">
        <v>0.024</v>
      </c>
      <c r="AE154" s="35">
        <v>0.024</v>
      </c>
      <c r="AG154" s="35">
        <v>0.024</v>
      </c>
      <c r="AI154" s="35">
        <v>0.024</v>
      </c>
    </row>
    <row r="155" spans="2:35" ht="12.75">
      <c r="B155" s="84" t="s">
        <v>55</v>
      </c>
      <c r="Q155" s="85">
        <f>'Target P&amp;L'!M8</f>
        <v>0.1381366459627329</v>
      </c>
      <c r="S155" s="85">
        <f>'Target P&amp;L'!O8</f>
        <v>0.0216110019646365</v>
      </c>
      <c r="U155" s="85">
        <f>'Target P&amp;L'!Q8</f>
        <v>0.005341880341880323</v>
      </c>
      <c r="W155" s="85">
        <f>'Target P&amp;L'!S8</f>
        <v>0.01</v>
      </c>
      <c r="Y155" s="85">
        <f>'Target P&amp;L'!U8</f>
        <v>0.01</v>
      </c>
      <c r="AA155" s="67">
        <f>Y155</f>
        <v>0.01</v>
      </c>
      <c r="AC155" s="67">
        <f>AA155</f>
        <v>0.01</v>
      </c>
      <c r="AE155" s="67">
        <f>AC155</f>
        <v>0.01</v>
      </c>
      <c r="AG155" s="67">
        <f>AE155</f>
        <v>0.01</v>
      </c>
      <c r="AI155" s="67">
        <f>AG155</f>
        <v>0.01</v>
      </c>
    </row>
    <row r="156" spans="2:35" ht="12.75">
      <c r="B156" s="84" t="s">
        <v>56</v>
      </c>
      <c r="Q156" s="35">
        <v>0.11</v>
      </c>
      <c r="S156" s="35">
        <v>0.02</v>
      </c>
      <c r="U156" s="35">
        <v>0.005</v>
      </c>
      <c r="W156" s="35">
        <v>0.005</v>
      </c>
      <c r="Y156" s="35">
        <v>0.005</v>
      </c>
      <c r="AA156" s="35">
        <v>0.005</v>
      </c>
      <c r="AC156" s="35">
        <v>0.005</v>
      </c>
      <c r="AE156" s="35">
        <v>0.005</v>
      </c>
      <c r="AG156" s="35">
        <v>0.005</v>
      </c>
      <c r="AI156" s="35">
        <v>0.005</v>
      </c>
    </row>
    <row r="157" spans="2:35" ht="4.5" customHeight="1">
      <c r="B157" s="84"/>
      <c r="Q157" s="35"/>
      <c r="S157" s="35"/>
      <c r="U157" s="35"/>
      <c r="W157" s="35"/>
      <c r="Y157" s="35"/>
      <c r="AA157" s="35"/>
      <c r="AC157" s="35"/>
      <c r="AE157" s="35"/>
      <c r="AG157" s="35"/>
      <c r="AI157" s="35"/>
    </row>
    <row r="158" spans="2:35" s="10" customFormat="1" ht="12.75">
      <c r="B158" s="10" t="str">
        <f ca="1">OFFSET(B153,op_case,0)</f>
        <v>Analyst Case</v>
      </c>
      <c r="Q158" s="90">
        <f ca="1">OFFSET(Q153,op_case,0)</f>
        <v>0.1381366459627329</v>
      </c>
      <c r="S158" s="90">
        <f ca="1">OFFSET(S153,op_case,0)</f>
        <v>0.0216110019646365</v>
      </c>
      <c r="U158" s="90">
        <f ca="1">OFFSET(U153,op_case,0)</f>
        <v>0.005341880341880323</v>
      </c>
      <c r="W158" s="90">
        <f ca="1">OFFSET(W153,op_case,0)</f>
        <v>0.01</v>
      </c>
      <c r="Y158" s="90">
        <f ca="1">OFFSET(Y153,op_case,0)</f>
        <v>0.01</v>
      </c>
      <c r="AA158" s="90">
        <f ca="1">OFFSET(AA153,op_case,0)</f>
        <v>0.01</v>
      </c>
      <c r="AC158" s="90">
        <f ca="1">OFFSET(AC153,op_case,0)</f>
        <v>0.01</v>
      </c>
      <c r="AE158" s="90">
        <f ca="1">OFFSET(AE153,op_case,0)</f>
        <v>0.01</v>
      </c>
      <c r="AG158" s="90">
        <f ca="1">OFFSET(AG153,op_case,0)</f>
        <v>0.01</v>
      </c>
      <c r="AI158" s="90">
        <f ca="1">OFFSET(AI153,op_case,0)</f>
        <v>0.01</v>
      </c>
    </row>
    <row r="160" spans="1:35" s="24" customFormat="1" ht="12.75">
      <c r="A160" s="83" t="s">
        <v>57</v>
      </c>
      <c r="Q160" s="86"/>
      <c r="S160" s="86"/>
      <c r="U160" s="86"/>
      <c r="W160" s="86"/>
      <c r="Y160" s="86"/>
      <c r="AA160" s="86"/>
      <c r="AC160" s="86"/>
      <c r="AE160" s="86"/>
      <c r="AG160" s="86"/>
      <c r="AI160" s="86"/>
    </row>
    <row r="161" spans="2:35" ht="12.75">
      <c r="B161" t="str">
        <f>B154</f>
        <v>Management Case</v>
      </c>
      <c r="Q161" s="35">
        <v>0.52</v>
      </c>
      <c r="S161" s="35">
        <v>0.515</v>
      </c>
      <c r="U161" s="35">
        <v>0.515</v>
      </c>
      <c r="W161" s="35">
        <v>0.51</v>
      </c>
      <c r="Y161" s="35">
        <v>0.51</v>
      </c>
      <c r="AA161" s="35">
        <v>0.51</v>
      </c>
      <c r="AC161" s="35">
        <v>0.51</v>
      </c>
      <c r="AE161" s="35">
        <v>0.51</v>
      </c>
      <c r="AG161" s="35">
        <v>0.51</v>
      </c>
      <c r="AI161" s="35">
        <v>0.51</v>
      </c>
    </row>
    <row r="162" spans="2:35" ht="12.75">
      <c r="B162" t="str">
        <f>B155</f>
        <v>Analyst Case</v>
      </c>
      <c r="Q162" s="85">
        <f>'Target P&amp;L'!M11</f>
        <v>0.5230299061340319</v>
      </c>
      <c r="S162" s="85">
        <f>'Target P&amp;L'!O11</f>
        <v>0.5337606837606838</v>
      </c>
      <c r="U162" s="85">
        <f>'Target P&amp;L'!Q11</f>
        <v>0.5360255047821466</v>
      </c>
      <c r="W162" s="85">
        <f>'Target P&amp;L'!S11</f>
        <v>0.5360255047821466</v>
      </c>
      <c r="Y162" s="85">
        <f>'Target P&amp;L'!U11</f>
        <v>0.5360255047821466</v>
      </c>
      <c r="AA162" s="67">
        <f>Y162</f>
        <v>0.5360255047821466</v>
      </c>
      <c r="AC162" s="67">
        <f>AA162</f>
        <v>0.5360255047821466</v>
      </c>
      <c r="AE162" s="67">
        <f>AC162</f>
        <v>0.5360255047821466</v>
      </c>
      <c r="AG162" s="67">
        <f>AE162</f>
        <v>0.5360255047821466</v>
      </c>
      <c r="AI162" s="67">
        <f>AG162</f>
        <v>0.5360255047821466</v>
      </c>
    </row>
    <row r="163" spans="2:35" ht="12.75">
      <c r="B163" t="str">
        <f>B156</f>
        <v>Downside Case</v>
      </c>
      <c r="Q163" s="35">
        <v>0.525</v>
      </c>
      <c r="S163" s="35">
        <v>0.539</v>
      </c>
      <c r="U163" s="35">
        <v>0.542</v>
      </c>
      <c r="W163" s="35">
        <v>0.545</v>
      </c>
      <c r="Y163" s="35">
        <v>0.545</v>
      </c>
      <c r="AA163" s="35">
        <v>0.545</v>
      </c>
      <c r="AC163" s="35">
        <v>0.545</v>
      </c>
      <c r="AE163" s="35">
        <v>0.545</v>
      </c>
      <c r="AG163" s="35">
        <v>0.545</v>
      </c>
      <c r="AI163" s="35">
        <v>0.545</v>
      </c>
    </row>
    <row r="164" ht="4.5" customHeight="1"/>
    <row r="165" spans="2:35" s="10" customFormat="1" ht="12.75">
      <c r="B165" s="10" t="str">
        <f ca="1">OFFSET(B160,op_case,0)</f>
        <v>Analyst Case</v>
      </c>
      <c r="Q165" s="90">
        <f ca="1">OFFSET(Q160,op_case,0)</f>
        <v>0.5230299061340319</v>
      </c>
      <c r="S165" s="90">
        <f ca="1">OFFSET(S160,op_case,0)</f>
        <v>0.5337606837606838</v>
      </c>
      <c r="U165" s="90">
        <f ca="1">OFFSET(U160,op_case,0)</f>
        <v>0.5360255047821466</v>
      </c>
      <c r="W165" s="90">
        <f ca="1">OFFSET(W160,op_case,0)</f>
        <v>0.5360255047821466</v>
      </c>
      <c r="Y165" s="90">
        <f ca="1">OFFSET(Y160,op_case,0)</f>
        <v>0.5360255047821466</v>
      </c>
      <c r="AA165" s="90">
        <f ca="1">OFFSET(AA160,op_case,0)</f>
        <v>0.5360255047821466</v>
      </c>
      <c r="AC165" s="90">
        <f ca="1">OFFSET(AC160,op_case,0)</f>
        <v>0.5360255047821466</v>
      </c>
      <c r="AE165" s="90">
        <f ca="1">OFFSET(AE160,op_case,0)</f>
        <v>0.5360255047821466</v>
      </c>
      <c r="AG165" s="90">
        <f ca="1">OFFSET(AG160,op_case,0)</f>
        <v>0.5360255047821466</v>
      </c>
      <c r="AI165" s="90">
        <f ca="1">OFFSET(AI160,op_case,0)</f>
        <v>0.5360255047821466</v>
      </c>
    </row>
    <row r="167" spans="1:35" s="24" customFormat="1" ht="12.75">
      <c r="A167" s="83" t="s">
        <v>58</v>
      </c>
      <c r="Q167" s="86"/>
      <c r="S167" s="86"/>
      <c r="U167" s="86"/>
      <c r="W167" s="86"/>
      <c r="Y167" s="86"/>
      <c r="AA167" s="86"/>
      <c r="AC167" s="86"/>
      <c r="AE167" s="86"/>
      <c r="AG167" s="86"/>
      <c r="AI167" s="86"/>
    </row>
    <row r="168" spans="2:35" ht="12.75">
      <c r="B168" t="str">
        <f>B161</f>
        <v>Management Case</v>
      </c>
      <c r="Q168" s="35">
        <v>0.19</v>
      </c>
      <c r="S168" s="35">
        <v>0.19</v>
      </c>
      <c r="U168" s="35">
        <v>0.189</v>
      </c>
      <c r="W168" s="35">
        <v>0.188</v>
      </c>
      <c r="Y168" s="35">
        <v>0.187</v>
      </c>
      <c r="AA168" s="35">
        <v>0.187</v>
      </c>
      <c r="AC168" s="35">
        <v>0.187</v>
      </c>
      <c r="AE168" s="35">
        <v>0.187</v>
      </c>
      <c r="AG168" s="35">
        <v>0.187</v>
      </c>
      <c r="AI168" s="35">
        <v>0.187</v>
      </c>
    </row>
    <row r="169" spans="2:35" ht="12.75">
      <c r="B169" t="str">
        <f>B162</f>
        <v>Analyst Case</v>
      </c>
      <c r="Q169" s="85">
        <f>'Target P&amp;L'!M16</f>
        <v>0.19275267408862692</v>
      </c>
      <c r="S169" s="85">
        <f>'Target P&amp;L'!O16</f>
        <v>0.19594017094017094</v>
      </c>
      <c r="U169" s="85">
        <f>'Target P&amp;L'!Q16</f>
        <v>0.19638682252922424</v>
      </c>
      <c r="W169" s="85">
        <f>'Target P&amp;L'!S16</f>
        <v>0.19638682252922424</v>
      </c>
      <c r="Y169" s="85">
        <f>'Target P&amp;L'!U16</f>
        <v>0.19638682252922424</v>
      </c>
      <c r="AA169" s="67">
        <f>Y169</f>
        <v>0.19638682252922424</v>
      </c>
      <c r="AC169" s="67">
        <f>AA169</f>
        <v>0.19638682252922424</v>
      </c>
      <c r="AE169" s="67">
        <f>AC169</f>
        <v>0.19638682252922424</v>
      </c>
      <c r="AG169" s="67">
        <f>AE169</f>
        <v>0.19638682252922424</v>
      </c>
      <c r="AI169" s="67">
        <f>AG169</f>
        <v>0.19638682252922424</v>
      </c>
    </row>
    <row r="170" spans="2:35" ht="12.75">
      <c r="B170" t="str">
        <f>B163</f>
        <v>Downside Case</v>
      </c>
      <c r="Q170" s="35">
        <v>0.196</v>
      </c>
      <c r="S170" s="35">
        <v>0.2</v>
      </c>
      <c r="U170" s="35">
        <v>0.202</v>
      </c>
      <c r="W170" s="35">
        <v>0.204</v>
      </c>
      <c r="Y170" s="35">
        <v>0.205</v>
      </c>
      <c r="AA170" s="35">
        <v>0.205</v>
      </c>
      <c r="AC170" s="35">
        <v>0.205</v>
      </c>
      <c r="AE170" s="35">
        <v>0.205</v>
      </c>
      <c r="AG170" s="35">
        <v>0.205</v>
      </c>
      <c r="AI170" s="35">
        <v>0.205</v>
      </c>
    </row>
    <row r="171" ht="4.5" customHeight="1"/>
    <row r="172" spans="2:35" s="10" customFormat="1" ht="12.75">
      <c r="B172" s="10" t="str">
        <f ca="1">OFFSET(B167,op_case,0)</f>
        <v>Analyst Case</v>
      </c>
      <c r="Q172" s="90">
        <f ca="1">OFFSET(Q167,op_case,0)</f>
        <v>0.19275267408862692</v>
      </c>
      <c r="S172" s="90">
        <f ca="1">OFFSET(S167,op_case,0)</f>
        <v>0.19594017094017094</v>
      </c>
      <c r="U172" s="90">
        <f ca="1">OFFSET(U167,op_case,0)</f>
        <v>0.19638682252922424</v>
      </c>
      <c r="W172" s="90">
        <f ca="1">OFFSET(W167,op_case,0)</f>
        <v>0.19638682252922424</v>
      </c>
      <c r="Y172" s="90">
        <f ca="1">OFFSET(Y167,op_case,0)</f>
        <v>0.19638682252922424</v>
      </c>
      <c r="AA172" s="90">
        <f ca="1">OFFSET(AA167,op_case,0)</f>
        <v>0.19638682252922424</v>
      </c>
      <c r="AC172" s="90">
        <f ca="1">OFFSET(AC167,op_case,0)</f>
        <v>0.19638682252922424</v>
      </c>
      <c r="AE172" s="90">
        <f ca="1">OFFSET(AE167,op_case,0)</f>
        <v>0.19638682252922424</v>
      </c>
      <c r="AG172" s="90">
        <f ca="1">OFFSET(AG167,op_case,0)</f>
        <v>0.19638682252922424</v>
      </c>
      <c r="AI172" s="90">
        <f ca="1">OFFSET(AI167,op_case,0)</f>
        <v>0.19638682252922424</v>
      </c>
    </row>
    <row r="174" ht="12.75">
      <c r="A174" s="83" t="s">
        <v>59</v>
      </c>
    </row>
    <row r="175" spans="2:35" ht="12.75">
      <c r="B175" t="str">
        <f>B168</f>
        <v>Management Case</v>
      </c>
      <c r="Q175" s="35">
        <v>0</v>
      </c>
      <c r="S175" s="35">
        <v>0</v>
      </c>
      <c r="U175" s="35">
        <v>0</v>
      </c>
      <c r="W175" s="35">
        <v>0</v>
      </c>
      <c r="Y175" s="35">
        <v>0</v>
      </c>
      <c r="AA175" s="35">
        <v>0</v>
      </c>
      <c r="AC175" s="35">
        <v>0</v>
      </c>
      <c r="AE175" s="35">
        <v>0</v>
      </c>
      <c r="AG175" s="35">
        <v>0</v>
      </c>
      <c r="AI175" s="35">
        <v>0</v>
      </c>
    </row>
    <row r="176" spans="2:35" ht="12.75">
      <c r="B176" t="str">
        <f>B169</f>
        <v>Analyst Case</v>
      </c>
      <c r="Q176" s="35">
        <v>0</v>
      </c>
      <c r="S176" s="35">
        <v>0</v>
      </c>
      <c r="U176" s="35">
        <v>0</v>
      </c>
      <c r="W176" s="35">
        <v>0</v>
      </c>
      <c r="Y176" s="35">
        <v>0</v>
      </c>
      <c r="AA176" s="35">
        <v>0</v>
      </c>
      <c r="AC176" s="35">
        <v>0</v>
      </c>
      <c r="AE176" s="35">
        <v>0</v>
      </c>
      <c r="AG176" s="35">
        <v>0</v>
      </c>
      <c r="AI176" s="35">
        <v>0</v>
      </c>
    </row>
    <row r="177" spans="2:35" ht="12.75">
      <c r="B177" t="str">
        <f>B170</f>
        <v>Downside Case</v>
      </c>
      <c r="Q177" s="35">
        <v>0</v>
      </c>
      <c r="S177" s="35">
        <v>0</v>
      </c>
      <c r="U177" s="35">
        <v>0</v>
      </c>
      <c r="W177" s="35">
        <v>0</v>
      </c>
      <c r="Y177" s="35">
        <v>0</v>
      </c>
      <c r="AA177" s="35">
        <v>0</v>
      </c>
      <c r="AC177" s="35">
        <v>0</v>
      </c>
      <c r="AE177" s="35">
        <v>0</v>
      </c>
      <c r="AG177" s="35">
        <v>0</v>
      </c>
      <c r="AI177" s="35">
        <v>0</v>
      </c>
    </row>
    <row r="178" ht="4.5" customHeight="1"/>
    <row r="179" spans="2:38" s="10" customFormat="1" ht="12.75">
      <c r="B179" s="10" t="str">
        <f ca="1">OFFSET(B174,op_case,0)</f>
        <v>Analyst Case</v>
      </c>
      <c r="Q179" s="90">
        <f ca="1">OFFSET(Q174,op_case,0)</f>
        <v>0</v>
      </c>
      <c r="S179" s="90">
        <f ca="1">OFFSET(S174,op_case,0)</f>
        <v>0</v>
      </c>
      <c r="U179" s="90">
        <f ca="1">OFFSET(U174,op_case,0)</f>
        <v>0</v>
      </c>
      <c r="W179" s="90">
        <f ca="1">OFFSET(W174,op_case,0)</f>
        <v>0</v>
      </c>
      <c r="Y179" s="90">
        <f ca="1">OFFSET(Y174,op_case,0)</f>
        <v>0</v>
      </c>
      <c r="AA179" s="90">
        <f ca="1">OFFSET(AA174,op_case,0)</f>
        <v>0</v>
      </c>
      <c r="AC179" s="90">
        <f ca="1">OFFSET(AC174,op_case,0)</f>
        <v>0</v>
      </c>
      <c r="AE179" s="90">
        <f ca="1">OFFSET(AE174,op_case,0)</f>
        <v>0</v>
      </c>
      <c r="AG179" s="90">
        <f ca="1">OFFSET(AG174,op_case,0)</f>
        <v>0</v>
      </c>
      <c r="AI179" s="90">
        <f ca="1">OFFSET(AI174,op_case,0)</f>
        <v>0</v>
      </c>
      <c r="AJ179"/>
      <c r="AK179"/>
      <c r="AL179"/>
    </row>
    <row r="181" spans="1:35" ht="12.75">
      <c r="A181" s="4" t="s">
        <v>192</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ht="12.75">
      <c r="A182" s="3" t="str">
        <f>$A$2</f>
        <v>($ in millions, except per share data)</v>
      </c>
    </row>
    <row r="183" ht="12.75">
      <c r="S183" s="22" t="s">
        <v>193</v>
      </c>
    </row>
    <row r="184" spans="7:19" ht="13.5" customHeight="1" thickBot="1">
      <c r="G184" s="100" t="s">
        <v>194</v>
      </c>
      <c r="H184" s="100"/>
      <c r="I184" s="100"/>
      <c r="J184" s="100"/>
      <c r="K184" s="100"/>
      <c r="L184" s="100"/>
      <c r="M184" s="100"/>
      <c r="N184" s="100"/>
      <c r="O184" s="100"/>
      <c r="P184" s="100"/>
      <c r="Q184" s="100"/>
      <c r="S184" s="82" t="s">
        <v>195</v>
      </c>
    </row>
    <row r="185" spans="1:19" ht="12.75">
      <c r="A185" s="24" t="s">
        <v>195</v>
      </c>
      <c r="G185" s="138">
        <v>1</v>
      </c>
      <c r="H185" s="110"/>
      <c r="I185" s="139">
        <f>G185+1</f>
        <v>2</v>
      </c>
      <c r="J185" s="110"/>
      <c r="K185" s="139">
        <f>I185+1</f>
        <v>3</v>
      </c>
      <c r="L185" s="139"/>
      <c r="M185" s="139">
        <f>K185+1</f>
        <v>4</v>
      </c>
      <c r="N185" s="110"/>
      <c r="O185" s="139">
        <f>M185+1</f>
        <v>5</v>
      </c>
      <c r="P185" s="110"/>
      <c r="Q185" s="139">
        <f>O185+1</f>
        <v>6</v>
      </c>
      <c r="S185" s="140">
        <f>fin_case</f>
        <v>4</v>
      </c>
    </row>
    <row r="186" spans="1:38" s="141" customFormat="1" ht="12.75" customHeight="1">
      <c r="A186" s="5"/>
      <c r="B186" s="5"/>
      <c r="C186" s="5"/>
      <c r="D186" s="5"/>
      <c r="E186" s="5"/>
      <c r="G186" s="5"/>
      <c r="H186" s="5"/>
      <c r="I186" s="5"/>
      <c r="J186" s="5"/>
      <c r="K186" s="5"/>
      <c r="L186" s="5"/>
      <c r="M186" s="5"/>
      <c r="N186" s="5"/>
      <c r="O186" s="5"/>
      <c r="P186" s="5"/>
      <c r="Q186" s="5"/>
      <c r="R186" s="5"/>
      <c r="S186" s="5"/>
      <c r="T186" s="5"/>
      <c r="U186" s="5"/>
      <c r="V186" s="5"/>
      <c r="W186" s="5"/>
      <c r="AB186" s="5"/>
      <c r="AC186" s="5"/>
      <c r="AD186" s="5"/>
      <c r="AE186" s="5"/>
      <c r="AF186" s="5"/>
      <c r="AG186" s="5"/>
      <c r="AH186" s="5"/>
      <c r="AI186" s="5"/>
      <c r="AJ186" s="5"/>
      <c r="AK186" s="5"/>
      <c r="AL186" s="5"/>
    </row>
    <row r="187" spans="1:38" ht="12.75">
      <c r="A187" s="142" t="s">
        <v>196</v>
      </c>
      <c r="C187" s="141"/>
      <c r="D187" s="141"/>
      <c r="E187" s="141"/>
      <c r="G187" s="143" t="s">
        <v>197</v>
      </c>
      <c r="H187" s="143"/>
      <c r="I187" s="143" t="s">
        <v>198</v>
      </c>
      <c r="J187" s="143"/>
      <c r="K187" s="143" t="s">
        <v>199</v>
      </c>
      <c r="L187" s="143"/>
      <c r="M187" s="143" t="s">
        <v>200</v>
      </c>
      <c r="N187" s="143"/>
      <c r="O187" s="143" t="s">
        <v>201</v>
      </c>
      <c r="P187" s="143"/>
      <c r="Q187" s="143" t="s">
        <v>202</v>
      </c>
      <c r="R187" s="143"/>
      <c r="S187" s="143" t="str">
        <f ca="1">OFFSET(E187,0,$S$185*2)</f>
        <v>LBO A</v>
      </c>
      <c r="T187" s="141"/>
      <c r="U187" s="22" t="s">
        <v>203</v>
      </c>
      <c r="W187" s="22" t="s">
        <v>204</v>
      </c>
      <c r="AB187" s="141"/>
      <c r="AC187" s="141"/>
      <c r="AD187" s="141"/>
      <c r="AE187" s="141"/>
      <c r="AF187" s="141"/>
      <c r="AG187" s="141"/>
      <c r="AH187" s="141"/>
      <c r="AI187" s="141"/>
      <c r="AJ187" s="141"/>
      <c r="AK187" s="141"/>
      <c r="AL187" s="141"/>
    </row>
    <row r="188" spans="21:23" ht="13.5" thickBot="1">
      <c r="U188" s="82" t="s">
        <v>30</v>
      </c>
      <c r="W188" s="82" t="s">
        <v>205</v>
      </c>
    </row>
    <row r="189" ht="12.75" customHeight="1">
      <c r="A189" s="83" t="s">
        <v>206</v>
      </c>
    </row>
    <row r="190" spans="2:23" ht="12.75" customHeight="1">
      <c r="B190" t="s">
        <v>208</v>
      </c>
      <c r="G190" s="144">
        <v>0</v>
      </c>
      <c r="H190" s="76"/>
      <c r="I190" s="77">
        <v>0</v>
      </c>
      <c r="J190" s="76"/>
      <c r="K190" s="77">
        <v>0</v>
      </c>
      <c r="L190" s="76"/>
      <c r="M190" s="74">
        <f>I69-min_cash</f>
        <v>116.606</v>
      </c>
      <c r="N190" s="76"/>
      <c r="O190" s="74">
        <f>M190</f>
        <v>116.606</v>
      </c>
      <c r="P190" s="76"/>
      <c r="Q190" s="74">
        <f>O190</f>
        <v>116.606</v>
      </c>
      <c r="S190" s="136">
        <f aca="true" ca="1" t="shared" si="13" ref="S190:S205">OFFSET(E190,0,$S$185*2)</f>
        <v>116.606</v>
      </c>
      <c r="U190" s="145">
        <f aca="true" t="shared" si="14" ref="U190:U205">S190/ltm_ebitda</f>
        <v>0.9668822553897183</v>
      </c>
      <c r="W190" s="67">
        <f aca="true" t="shared" si="15" ref="W190:W205">S190/$S$206</f>
        <v>0.14303229720995186</v>
      </c>
    </row>
    <row r="191" spans="2:23" ht="12.75" customHeight="1">
      <c r="B191" t="s">
        <v>209</v>
      </c>
      <c r="G191" s="43">
        <v>0</v>
      </c>
      <c r="I191" s="146">
        <f>I212</f>
        <v>230</v>
      </c>
      <c r="J191" s="37"/>
      <c r="K191" s="146">
        <f>K212</f>
        <v>230</v>
      </c>
      <c r="L191" s="37"/>
      <c r="M191" s="146">
        <f>M212</f>
        <v>230</v>
      </c>
      <c r="N191" s="37"/>
      <c r="O191" s="146">
        <f>O212</f>
        <v>230</v>
      </c>
      <c r="P191" s="37"/>
      <c r="Q191" s="146">
        <f>Q212</f>
        <v>230</v>
      </c>
      <c r="S191" s="146">
        <f ca="1" t="shared" si="13"/>
        <v>230</v>
      </c>
      <c r="U191" s="145">
        <f t="shared" si="14"/>
        <v>1.9071310116086242</v>
      </c>
      <c r="W191" s="67">
        <f t="shared" si="15"/>
        <v>0.2821246621810964</v>
      </c>
    </row>
    <row r="192" spans="2:23" ht="12.75" customHeight="1">
      <c r="B192" t="s">
        <v>225</v>
      </c>
      <c r="G192" s="43">
        <v>0</v>
      </c>
      <c r="H192" s="37"/>
      <c r="I192" s="146">
        <f>I215</f>
        <v>0</v>
      </c>
      <c r="J192" s="37"/>
      <c r="K192" s="146">
        <f>K215</f>
        <v>0</v>
      </c>
      <c r="L192" s="37"/>
      <c r="M192" s="146">
        <f>M215</f>
        <v>0</v>
      </c>
      <c r="N192" s="37"/>
      <c r="O192" s="146">
        <f>O215</f>
        <v>0</v>
      </c>
      <c r="P192" s="37"/>
      <c r="Q192" s="146">
        <f>Q215</f>
        <v>0</v>
      </c>
      <c r="S192" s="146">
        <f ca="1" t="shared" si="13"/>
        <v>0</v>
      </c>
      <c r="U192" s="145">
        <f t="shared" si="14"/>
        <v>0</v>
      </c>
      <c r="W192" s="67">
        <f t="shared" si="15"/>
        <v>0</v>
      </c>
    </row>
    <row r="193" spans="2:23" ht="12.75">
      <c r="B193" t="s">
        <v>182</v>
      </c>
      <c r="G193" s="43">
        <v>0</v>
      </c>
      <c r="H193" s="37"/>
      <c r="I193" s="43">
        <v>0</v>
      </c>
      <c r="J193" s="37"/>
      <c r="K193" s="43">
        <v>0</v>
      </c>
      <c r="L193" s="37"/>
      <c r="M193" s="43">
        <v>0</v>
      </c>
      <c r="N193" s="37"/>
      <c r="O193" s="43">
        <v>0</v>
      </c>
      <c r="P193" s="37"/>
      <c r="Q193" s="43">
        <v>0</v>
      </c>
      <c r="S193" s="146">
        <f ca="1" t="shared" si="13"/>
        <v>0</v>
      </c>
      <c r="U193" s="145">
        <f t="shared" si="14"/>
        <v>0</v>
      </c>
      <c r="W193" s="67">
        <f t="shared" si="15"/>
        <v>0</v>
      </c>
    </row>
    <row r="194" spans="2:23" ht="12.75">
      <c r="B194" s="84" t="s">
        <v>183</v>
      </c>
      <c r="C194" s="84"/>
      <c r="G194" s="43">
        <v>0</v>
      </c>
      <c r="H194" s="37"/>
      <c r="I194" s="39">
        <f>I220-SUM(I195:I205,I190:I193)</f>
        <v>-29.209183673469397</v>
      </c>
      <c r="J194" s="37"/>
      <c r="K194" s="39">
        <f>K220-SUM(K195:K205,K190:K193)</f>
        <v>-73.9795918367347</v>
      </c>
      <c r="L194" s="37"/>
      <c r="M194" s="38">
        <v>150</v>
      </c>
      <c r="N194" s="37"/>
      <c r="O194" s="38">
        <v>0</v>
      </c>
      <c r="P194" s="37"/>
      <c r="Q194" s="38">
        <v>50</v>
      </c>
      <c r="S194" s="146">
        <f ca="1" t="shared" si="13"/>
        <v>150</v>
      </c>
      <c r="U194" s="145">
        <f t="shared" si="14"/>
        <v>1.2437810945273635</v>
      </c>
      <c r="W194" s="67">
        <f t="shared" si="15"/>
        <v>0.18399434490071506</v>
      </c>
    </row>
    <row r="195" spans="2:23" ht="12.75">
      <c r="B195" s="84" t="s">
        <v>184</v>
      </c>
      <c r="C195" s="84"/>
      <c r="G195" s="43">
        <v>0</v>
      </c>
      <c r="H195" s="37"/>
      <c r="I195" s="38">
        <v>0</v>
      </c>
      <c r="J195" s="37"/>
      <c r="K195" s="38">
        <v>0</v>
      </c>
      <c r="L195" s="37"/>
      <c r="M195" s="38">
        <v>0</v>
      </c>
      <c r="N195" s="37"/>
      <c r="O195" s="38">
        <v>75</v>
      </c>
      <c r="P195" s="37"/>
      <c r="Q195" s="38">
        <v>0</v>
      </c>
      <c r="S195" s="146">
        <f ca="1" t="shared" si="13"/>
        <v>0</v>
      </c>
      <c r="U195" s="145">
        <f t="shared" si="14"/>
        <v>0</v>
      </c>
      <c r="W195" s="67">
        <f t="shared" si="15"/>
        <v>0</v>
      </c>
    </row>
    <row r="196" spans="2:23" ht="12.75">
      <c r="B196" s="84" t="s">
        <v>185</v>
      </c>
      <c r="C196" s="84"/>
      <c r="G196" s="43">
        <v>0</v>
      </c>
      <c r="H196" s="37"/>
      <c r="I196" s="38">
        <v>50</v>
      </c>
      <c r="J196" s="37"/>
      <c r="K196" s="38">
        <v>100</v>
      </c>
      <c r="L196" s="37"/>
      <c r="M196" s="38">
        <v>75</v>
      </c>
      <c r="N196" s="37"/>
      <c r="O196" s="38">
        <v>100</v>
      </c>
      <c r="P196" s="37"/>
      <c r="Q196" s="38">
        <v>100</v>
      </c>
      <c r="S196" s="146">
        <f ca="1" t="shared" si="13"/>
        <v>75</v>
      </c>
      <c r="U196" s="145">
        <f t="shared" si="14"/>
        <v>0.6218905472636818</v>
      </c>
      <c r="W196" s="67">
        <f t="shared" si="15"/>
        <v>0.09199717245035753</v>
      </c>
    </row>
    <row r="197" spans="2:23" ht="12.75">
      <c r="B197" s="84" t="s">
        <v>186</v>
      </c>
      <c r="C197" s="84"/>
      <c r="G197" s="43">
        <v>0</v>
      </c>
      <c r="H197" s="37"/>
      <c r="I197" s="43">
        <v>0</v>
      </c>
      <c r="J197" s="37"/>
      <c r="K197" s="43">
        <v>0</v>
      </c>
      <c r="L197" s="37"/>
      <c r="M197" s="43">
        <v>0</v>
      </c>
      <c r="N197" s="37"/>
      <c r="O197" s="43">
        <v>0</v>
      </c>
      <c r="P197" s="37"/>
      <c r="Q197" s="43">
        <v>50</v>
      </c>
      <c r="S197" s="146">
        <f ca="1" t="shared" si="13"/>
        <v>0</v>
      </c>
      <c r="U197" s="145">
        <f t="shared" si="14"/>
        <v>0</v>
      </c>
      <c r="W197" s="67">
        <f t="shared" si="15"/>
        <v>0</v>
      </c>
    </row>
    <row r="198" spans="2:23" ht="12.75">
      <c r="B198" s="84" t="s">
        <v>187</v>
      </c>
      <c r="C198" s="84"/>
      <c r="G198" s="43">
        <v>0</v>
      </c>
      <c r="H198" s="37"/>
      <c r="I198" s="43">
        <v>0</v>
      </c>
      <c r="J198" s="37"/>
      <c r="K198" s="43">
        <v>0</v>
      </c>
      <c r="L198" s="37"/>
      <c r="M198" s="43">
        <v>0</v>
      </c>
      <c r="N198" s="37"/>
      <c r="O198" s="43">
        <v>0</v>
      </c>
      <c r="P198" s="37"/>
      <c r="Q198" s="43">
        <v>0</v>
      </c>
      <c r="S198" s="146">
        <f ca="1" t="shared" si="13"/>
        <v>0</v>
      </c>
      <c r="U198" s="145">
        <f t="shared" si="14"/>
        <v>0</v>
      </c>
      <c r="W198" s="67">
        <f t="shared" si="15"/>
        <v>0</v>
      </c>
    </row>
    <row r="199" spans="2:23" ht="12.75">
      <c r="B199" s="84" t="s">
        <v>188</v>
      </c>
      <c r="C199" s="84"/>
      <c r="G199" s="43">
        <v>0</v>
      </c>
      <c r="H199" s="37"/>
      <c r="I199" s="43">
        <v>0</v>
      </c>
      <c r="J199" s="37"/>
      <c r="K199" s="43">
        <v>0</v>
      </c>
      <c r="L199" s="37"/>
      <c r="M199" s="43">
        <v>0</v>
      </c>
      <c r="N199" s="37"/>
      <c r="O199" s="43">
        <v>0</v>
      </c>
      <c r="P199" s="37"/>
      <c r="Q199" s="43">
        <v>0</v>
      </c>
      <c r="S199" s="146">
        <f ca="1" t="shared" si="13"/>
        <v>0</v>
      </c>
      <c r="U199" s="145">
        <f t="shared" si="14"/>
        <v>0</v>
      </c>
      <c r="W199" s="67">
        <f t="shared" si="15"/>
        <v>0</v>
      </c>
    </row>
    <row r="200" spans="2:23" ht="12.75">
      <c r="B200" s="84" t="s">
        <v>189</v>
      </c>
      <c r="C200" s="84"/>
      <c r="G200" s="43">
        <v>0</v>
      </c>
      <c r="H200" s="37"/>
      <c r="I200" s="43">
        <v>0</v>
      </c>
      <c r="J200" s="37"/>
      <c r="K200" s="43">
        <v>0</v>
      </c>
      <c r="L200" s="37"/>
      <c r="M200" s="43">
        <v>10</v>
      </c>
      <c r="N200" s="37"/>
      <c r="O200" s="43">
        <v>75</v>
      </c>
      <c r="P200" s="37"/>
      <c r="Q200" s="43">
        <v>0</v>
      </c>
      <c r="S200" s="146">
        <f ca="1" t="shared" si="13"/>
        <v>10</v>
      </c>
      <c r="U200" s="145">
        <f t="shared" si="14"/>
        <v>0.08291873963515757</v>
      </c>
      <c r="W200" s="67">
        <f t="shared" si="15"/>
        <v>0.01226628966004767</v>
      </c>
    </row>
    <row r="201" spans="2:23" ht="12.75">
      <c r="B201" s="84" t="s">
        <v>190</v>
      </c>
      <c r="C201" s="84"/>
      <c r="G201" s="43">
        <v>0</v>
      </c>
      <c r="H201" s="37"/>
      <c r="I201" s="43">
        <v>0</v>
      </c>
      <c r="J201" s="37"/>
      <c r="K201" s="43">
        <v>0</v>
      </c>
      <c r="L201" s="37"/>
      <c r="M201" s="43">
        <v>0</v>
      </c>
      <c r="N201" s="37"/>
      <c r="O201" s="43">
        <v>0</v>
      </c>
      <c r="P201" s="37"/>
      <c r="Q201" s="43">
        <v>0</v>
      </c>
      <c r="S201" s="146">
        <f ca="1" t="shared" si="13"/>
        <v>0</v>
      </c>
      <c r="U201" s="145">
        <f t="shared" si="14"/>
        <v>0</v>
      </c>
      <c r="W201" s="67">
        <f t="shared" si="15"/>
        <v>0</v>
      </c>
    </row>
    <row r="202" spans="2:23" ht="12.75">
      <c r="B202" t="s">
        <v>210</v>
      </c>
      <c r="G202" s="43">
        <v>0</v>
      </c>
      <c r="I202" s="43">
        <v>0</v>
      </c>
      <c r="K202" s="43">
        <v>0</v>
      </c>
      <c r="M202" s="147">
        <f>M220-SUM(M203:M205,M190:M201)</f>
        <v>233.6364471574999</v>
      </c>
      <c r="O202" s="147">
        <f>O220-SUM(O203:O205,O190:O201)</f>
        <v>217.5114471574999</v>
      </c>
      <c r="Q202" s="147">
        <f>Q220-SUM(Q203:Q205,Q190:Q201)</f>
        <v>248.6989471574999</v>
      </c>
      <c r="S202" s="146">
        <f ca="1" t="shared" si="13"/>
        <v>233.6364471574999</v>
      </c>
      <c r="U202" s="145">
        <f t="shared" si="14"/>
        <v>1.9372839731135985</v>
      </c>
      <c r="W202" s="67">
        <f t="shared" si="15"/>
        <v>0.2865852335978315</v>
      </c>
    </row>
    <row r="203" spans="2:23" ht="12.75">
      <c r="B203" t="s">
        <v>211</v>
      </c>
      <c r="G203" s="43">
        <v>0</v>
      </c>
      <c r="I203" s="43">
        <v>0</v>
      </c>
      <c r="K203" s="43">
        <v>0</v>
      </c>
      <c r="M203" s="43">
        <v>0</v>
      </c>
      <c r="O203" s="43">
        <v>0</v>
      </c>
      <c r="Q203" s="43">
        <v>20</v>
      </c>
      <c r="S203" s="146">
        <f ca="1" t="shared" si="13"/>
        <v>0</v>
      </c>
      <c r="U203" s="145">
        <f t="shared" si="14"/>
        <v>0</v>
      </c>
      <c r="W203" s="67">
        <f t="shared" si="15"/>
        <v>0</v>
      </c>
    </row>
    <row r="204" spans="2:23" ht="12.75">
      <c r="B204" t="s">
        <v>212</v>
      </c>
      <c r="G204" s="43">
        <v>0</v>
      </c>
      <c r="I204" s="43">
        <v>0</v>
      </c>
      <c r="K204" s="43">
        <v>0</v>
      </c>
      <c r="M204" s="43">
        <v>0</v>
      </c>
      <c r="O204" s="43">
        <v>0</v>
      </c>
      <c r="Q204" s="43">
        <v>0</v>
      </c>
      <c r="S204" s="146">
        <f ca="1" t="shared" si="13"/>
        <v>0</v>
      </c>
      <c r="U204" s="145">
        <f t="shared" si="14"/>
        <v>0</v>
      </c>
      <c r="W204" s="67">
        <f t="shared" si="15"/>
        <v>0</v>
      </c>
    </row>
    <row r="205" spans="2:23" ht="13.5" customHeight="1" thickBot="1">
      <c r="B205" t="s">
        <v>66</v>
      </c>
      <c r="G205" s="43">
        <v>0</v>
      </c>
      <c r="I205" s="43">
        <v>0</v>
      </c>
      <c r="K205" s="43">
        <v>0</v>
      </c>
      <c r="M205" s="43">
        <v>0</v>
      </c>
      <c r="O205" s="43">
        <v>0</v>
      </c>
      <c r="Q205" s="43">
        <v>0</v>
      </c>
      <c r="S205" s="146">
        <f ca="1" t="shared" si="13"/>
        <v>0</v>
      </c>
      <c r="U205" s="145">
        <f t="shared" si="14"/>
        <v>0</v>
      </c>
      <c r="W205" s="67">
        <f t="shared" si="15"/>
        <v>0</v>
      </c>
    </row>
    <row r="206" spans="3:19" ht="13.5" customHeight="1" thickBot="1">
      <c r="C206" s="10" t="s">
        <v>207</v>
      </c>
      <c r="G206" s="106">
        <f>SUM(G190:G205)</f>
        <v>0</v>
      </c>
      <c r="I206" s="106">
        <f>SUM(I190:I205)</f>
        <v>250.7908163265306</v>
      </c>
      <c r="K206" s="106">
        <f>SUM(K190:K205)</f>
        <v>256.0204081632653</v>
      </c>
      <c r="M206" s="106">
        <f>SUM(M190:M205)</f>
        <v>815.2424471574999</v>
      </c>
      <c r="O206" s="106">
        <f>SUM(O190:O205)</f>
        <v>814.1174471574999</v>
      </c>
      <c r="Q206" s="106">
        <f>SUM(Q190:Q205)</f>
        <v>815.3049471574999</v>
      </c>
      <c r="S206" s="148">
        <f>SUM(S190:S205)</f>
        <v>815.2424471574999</v>
      </c>
    </row>
    <row r="207" ht="13.5" thickTop="1"/>
    <row r="208" spans="1:38" s="76" customFormat="1" ht="12.75" customHeight="1">
      <c r="A208" s="83" t="s">
        <v>213</v>
      </c>
      <c r="B208" s="5"/>
      <c r="C208" s="5"/>
      <c r="D208" s="5"/>
      <c r="E208" s="5"/>
      <c r="F208" s="5"/>
      <c r="G208" s="5"/>
      <c r="H208" s="5"/>
      <c r="I208" s="5"/>
      <c r="J208" s="5"/>
      <c r="K208" s="5"/>
      <c r="L208" s="5"/>
      <c r="M208" s="5"/>
      <c r="N208" s="5"/>
      <c r="O208" s="5"/>
      <c r="P208" s="5"/>
      <c r="Q208" s="5"/>
      <c r="R208" s="5"/>
      <c r="S208" s="5"/>
      <c r="T208" s="5"/>
      <c r="U208" s="5"/>
      <c r="V208" s="5"/>
      <c r="W208" s="5"/>
      <c r="AB208" s="5"/>
      <c r="AC208" s="5"/>
      <c r="AD208" s="5"/>
      <c r="AE208" s="5"/>
      <c r="AF208" s="5"/>
      <c r="AG208" s="5"/>
      <c r="AH208" s="5"/>
      <c r="AI208" s="5"/>
      <c r="AJ208" s="5"/>
      <c r="AK208" s="5"/>
      <c r="AL208" s="5"/>
    </row>
    <row r="209" spans="1:38" ht="12.75" customHeight="1">
      <c r="A209" s="76"/>
      <c r="B209" s="76" t="s">
        <v>219</v>
      </c>
      <c r="C209" s="76"/>
      <c r="D209" s="76"/>
      <c r="F209" s="76"/>
      <c r="G209" s="144">
        <v>0</v>
      </c>
      <c r="H209" s="76"/>
      <c r="I209" s="77">
        <v>0</v>
      </c>
      <c r="J209" s="76"/>
      <c r="K209" s="77">
        <v>0</v>
      </c>
      <c r="L209" s="76"/>
      <c r="M209" s="74">
        <f>Y11</f>
        <v>562.9861275</v>
      </c>
      <c r="N209" s="76"/>
      <c r="O209" s="74">
        <f>M209</f>
        <v>562.9861275</v>
      </c>
      <c r="P209" s="76"/>
      <c r="Q209" s="74">
        <f>O209</f>
        <v>562.9861275</v>
      </c>
      <c r="R209" s="76"/>
      <c r="S209" s="136">
        <f aca="true" ca="1" t="shared" si="16" ref="S209:S219">OFFSET(E209,0,$S$185*2)</f>
        <v>562.9861275</v>
      </c>
      <c r="T209" s="76"/>
      <c r="U209" s="145">
        <f aca="true" t="shared" si="17" ref="U209:U219">S209/ltm_ebitda</f>
        <v>4.668210012437812</v>
      </c>
      <c r="V209" s="76"/>
      <c r="W209" s="67">
        <f aca="true" t="shared" si="18" ref="W209:W219">S209/$S$220</f>
        <v>0.6905750914503529</v>
      </c>
      <c r="AB209" s="76"/>
      <c r="AC209" s="76"/>
      <c r="AD209" s="76"/>
      <c r="AE209" s="76"/>
      <c r="AF209" s="76"/>
      <c r="AG209" s="76"/>
      <c r="AH209" s="76"/>
      <c r="AI209" s="76"/>
      <c r="AJ209" s="76"/>
      <c r="AK209" s="76"/>
      <c r="AL209" s="76"/>
    </row>
    <row r="210" spans="2:29" ht="12.75" customHeight="1">
      <c r="B210" s="76" t="s">
        <v>212</v>
      </c>
      <c r="G210" s="43">
        <v>0</v>
      </c>
      <c r="I210" s="43">
        <v>0</v>
      </c>
      <c r="J210" s="37"/>
      <c r="K210" s="43">
        <v>0</v>
      </c>
      <c r="L210" s="37"/>
      <c r="M210" s="43">
        <v>0</v>
      </c>
      <c r="N210" s="37"/>
      <c r="O210" s="43">
        <v>0</v>
      </c>
      <c r="P210" s="37"/>
      <c r="Q210" s="43">
        <v>0</v>
      </c>
      <c r="S210" s="146">
        <f ca="1" t="shared" si="16"/>
        <v>0</v>
      </c>
      <c r="U210" s="145">
        <f t="shared" si="17"/>
        <v>0</v>
      </c>
      <c r="W210" s="67">
        <f t="shared" si="18"/>
        <v>0</v>
      </c>
      <c r="AC210" s="60"/>
    </row>
    <row r="211" spans="2:29" ht="12.75">
      <c r="B211" s="76" t="s">
        <v>220</v>
      </c>
      <c r="G211" s="43">
        <v>0</v>
      </c>
      <c r="I211" s="38">
        <v>10</v>
      </c>
      <c r="J211" s="37"/>
      <c r="K211" s="38">
        <v>15</v>
      </c>
      <c r="L211" s="37"/>
      <c r="M211" s="38">
        <v>0</v>
      </c>
      <c r="N211" s="37"/>
      <c r="O211" s="38">
        <v>0</v>
      </c>
      <c r="P211" s="37"/>
      <c r="Q211" s="38">
        <v>0</v>
      </c>
      <c r="S211" s="146">
        <f ca="1" t="shared" si="16"/>
        <v>0</v>
      </c>
      <c r="U211" s="145">
        <f t="shared" si="17"/>
        <v>0</v>
      </c>
      <c r="W211" s="67">
        <f t="shared" si="18"/>
        <v>0</v>
      </c>
      <c r="AC211" s="60"/>
    </row>
    <row r="212" spans="2:23" ht="12.75">
      <c r="B212" s="76" t="s">
        <v>221</v>
      </c>
      <c r="G212" s="43">
        <v>0</v>
      </c>
      <c r="I212" s="39">
        <f>(I89+I100)*(1-refi)</f>
        <v>230</v>
      </c>
      <c r="J212" s="37"/>
      <c r="K212" s="39">
        <f>I212</f>
        <v>230</v>
      </c>
      <c r="L212" s="37"/>
      <c r="M212" s="39">
        <f>K212</f>
        <v>230</v>
      </c>
      <c r="N212" s="37"/>
      <c r="O212" s="39">
        <f>M212</f>
        <v>230</v>
      </c>
      <c r="P212" s="37"/>
      <c r="Q212" s="39">
        <f>O212</f>
        <v>230</v>
      </c>
      <c r="S212" s="146">
        <f ca="1" t="shared" si="16"/>
        <v>230</v>
      </c>
      <c r="U212" s="145">
        <f t="shared" si="17"/>
        <v>1.9071310116086242</v>
      </c>
      <c r="W212" s="67">
        <f t="shared" si="18"/>
        <v>0.2821246621810964</v>
      </c>
    </row>
    <row r="213" spans="2:23" ht="12.75">
      <c r="B213" s="76" t="s">
        <v>214</v>
      </c>
      <c r="G213" s="43">
        <v>0</v>
      </c>
      <c r="I213" s="39">
        <f>(I89+I100)*refi</f>
        <v>0</v>
      </c>
      <c r="J213" s="37"/>
      <c r="K213" s="39">
        <f>I213</f>
        <v>0</v>
      </c>
      <c r="L213" s="37"/>
      <c r="M213" s="39">
        <f>K213</f>
        <v>0</v>
      </c>
      <c r="N213" s="37"/>
      <c r="O213" s="39">
        <f>M213</f>
        <v>0</v>
      </c>
      <c r="P213" s="37"/>
      <c r="Q213" s="39">
        <f>O213</f>
        <v>0</v>
      </c>
      <c r="S213" s="146">
        <f ca="1" t="shared" si="16"/>
        <v>0</v>
      </c>
      <c r="U213" s="145">
        <f t="shared" si="17"/>
        <v>0</v>
      </c>
      <c r="W213" s="67">
        <f t="shared" si="18"/>
        <v>0</v>
      </c>
    </row>
    <row r="214" spans="2:23" ht="12.75">
      <c r="B214" s="76" t="s">
        <v>215</v>
      </c>
      <c r="G214" s="43">
        <v>0</v>
      </c>
      <c r="I214" s="43">
        <v>0</v>
      </c>
      <c r="J214" s="37"/>
      <c r="K214" s="43">
        <v>0</v>
      </c>
      <c r="L214" s="37"/>
      <c r="M214" s="43">
        <v>0</v>
      </c>
      <c r="N214" s="37"/>
      <c r="O214" s="43">
        <v>0</v>
      </c>
      <c r="P214" s="37"/>
      <c r="Q214" s="43">
        <v>0</v>
      </c>
      <c r="S214" s="146">
        <f ca="1" t="shared" si="16"/>
        <v>0</v>
      </c>
      <c r="U214" s="145">
        <f t="shared" si="17"/>
        <v>0</v>
      </c>
      <c r="W214" s="67">
        <f t="shared" si="18"/>
        <v>0</v>
      </c>
    </row>
    <row r="215" spans="2:23" ht="12.75">
      <c r="B215" s="76" t="s">
        <v>223</v>
      </c>
      <c r="G215" s="43">
        <v>0</v>
      </c>
      <c r="I215" s="43">
        <v>0</v>
      </c>
      <c r="J215" s="37"/>
      <c r="K215" s="37">
        <f>I215</f>
        <v>0</v>
      </c>
      <c r="L215" s="37"/>
      <c r="M215" s="39">
        <f>L193</f>
        <v>0</v>
      </c>
      <c r="N215" s="37"/>
      <c r="O215" s="39">
        <f>N193</f>
        <v>0</v>
      </c>
      <c r="P215" s="37"/>
      <c r="Q215" s="39">
        <f>P193</f>
        <v>0</v>
      </c>
      <c r="S215" s="146">
        <f ca="1" t="shared" si="16"/>
        <v>0</v>
      </c>
      <c r="U215" s="145">
        <f t="shared" si="17"/>
        <v>0</v>
      </c>
      <c r="W215" s="67">
        <f t="shared" si="18"/>
        <v>0</v>
      </c>
    </row>
    <row r="216" spans="2:23" ht="12.75">
      <c r="B216" s="76" t="s">
        <v>224</v>
      </c>
      <c r="G216" s="43">
        <v>0</v>
      </c>
      <c r="I216" s="39">
        <f>I105</f>
        <v>0</v>
      </c>
      <c r="J216" s="37"/>
      <c r="K216" s="39">
        <f>I216</f>
        <v>0</v>
      </c>
      <c r="L216" s="37"/>
      <c r="M216" s="39">
        <f>K216</f>
        <v>0</v>
      </c>
      <c r="N216" s="37"/>
      <c r="O216" s="39">
        <f>M216</f>
        <v>0</v>
      </c>
      <c r="P216" s="37"/>
      <c r="Q216" s="39">
        <f>O216</f>
        <v>0</v>
      </c>
      <c r="S216" s="146">
        <f ca="1" t="shared" si="16"/>
        <v>0</v>
      </c>
      <c r="U216" s="145">
        <f t="shared" si="17"/>
        <v>0</v>
      </c>
      <c r="W216" s="67">
        <f t="shared" si="18"/>
        <v>0</v>
      </c>
    </row>
    <row r="217" spans="2:23" ht="12.75">
      <c r="B217" s="76" t="s">
        <v>216</v>
      </c>
      <c r="G217" s="43">
        <v>0</v>
      </c>
      <c r="I217" s="39">
        <f>I209*$G231+I209*$G230+SUM($S$243:$S$247)</f>
        <v>8.5</v>
      </c>
      <c r="J217" s="37"/>
      <c r="K217" s="39">
        <f>K209*$G231+K209*$G230+SUM($S$243:$S$247)</f>
        <v>8.5</v>
      </c>
      <c r="L217" s="37"/>
      <c r="M217" s="39">
        <f>M209*$G231+M209*$G230+SUM($S$243:$S$247)</f>
        <v>15.818819657499999</v>
      </c>
      <c r="N217" s="37"/>
      <c r="O217" s="39">
        <f>O209*$G231+O209*$G230+SUM($S$243:$S$247)</f>
        <v>15.818819657499999</v>
      </c>
      <c r="P217" s="37"/>
      <c r="Q217" s="39">
        <f>Q209*$G231+Q209*$G230+SUM($S$243:$S$247)</f>
        <v>15.818819657499999</v>
      </c>
      <c r="S217" s="146">
        <f ca="1" t="shared" si="16"/>
        <v>15.818819657499999</v>
      </c>
      <c r="U217" s="145">
        <f t="shared" si="17"/>
        <v>0.1311676588515755</v>
      </c>
      <c r="W217" s="67">
        <f t="shared" si="18"/>
        <v>0.019403822399895108</v>
      </c>
    </row>
    <row r="218" spans="2:29" ht="12.75">
      <c r="B218" t="s">
        <v>88</v>
      </c>
      <c r="G218" s="38">
        <v>0</v>
      </c>
      <c r="I218" s="39">
        <f>$S$233+SUMPRODUCT(I194:I199,$G234:$G239)</f>
        <v>2.2908163265306123</v>
      </c>
      <c r="J218" s="37"/>
      <c r="K218" s="39">
        <f>$S$233+SUMPRODUCT(K194:K199,$G234:$G239)</f>
        <v>2.520408163265306</v>
      </c>
      <c r="L218" s="37"/>
      <c r="M218" s="39">
        <f>$S$233+SUMPRODUCT(M194:M199,$G234:$G239)</f>
        <v>6.4375</v>
      </c>
      <c r="N218" s="37"/>
      <c r="O218" s="39">
        <f>$S$233+SUMPRODUCT(O194:O199,$G234:$G239)</f>
        <v>5.3125</v>
      </c>
      <c r="P218" s="37"/>
      <c r="Q218" s="39">
        <f>$S$233+SUMPRODUCT(Q194:Q199,$G234:$G239)</f>
        <v>6.5</v>
      </c>
      <c r="S218" s="146">
        <f ca="1" t="shared" si="16"/>
        <v>6.4375</v>
      </c>
      <c r="U218" s="145">
        <f t="shared" si="17"/>
        <v>0.053378938640132684</v>
      </c>
      <c r="W218" s="67">
        <f t="shared" si="18"/>
        <v>0.007896423968655688</v>
      </c>
      <c r="AC218" s="149"/>
    </row>
    <row r="219" spans="2:23" ht="13.5" customHeight="1" thickBot="1">
      <c r="B219" s="76" t="s">
        <v>66</v>
      </c>
      <c r="G219" s="43">
        <v>0</v>
      </c>
      <c r="I219" s="37">
        <f>G219</f>
        <v>0</v>
      </c>
      <c r="J219" s="37"/>
      <c r="K219" s="37">
        <f>I219</f>
        <v>0</v>
      </c>
      <c r="L219" s="37"/>
      <c r="M219" s="37">
        <f>K219</f>
        <v>0</v>
      </c>
      <c r="N219" s="37"/>
      <c r="O219" s="37">
        <f>M219</f>
        <v>0</v>
      </c>
      <c r="P219" s="37"/>
      <c r="Q219" s="37">
        <f>O219</f>
        <v>0</v>
      </c>
      <c r="S219" s="146">
        <f ca="1" t="shared" si="16"/>
        <v>0</v>
      </c>
      <c r="U219" s="145">
        <f t="shared" si="17"/>
        <v>0</v>
      </c>
      <c r="W219" s="67">
        <f t="shared" si="18"/>
        <v>0</v>
      </c>
    </row>
    <row r="220" spans="3:19" ht="13.5" customHeight="1" thickBot="1">
      <c r="C220" s="10" t="s">
        <v>217</v>
      </c>
      <c r="G220" s="106">
        <f>SUM(G209:G219)</f>
        <v>0</v>
      </c>
      <c r="I220" s="106">
        <f>SUM(I209:I219)</f>
        <v>250.7908163265306</v>
      </c>
      <c r="K220" s="106">
        <f>SUM(K209:K219)</f>
        <v>256.0204081632653</v>
      </c>
      <c r="M220" s="106">
        <f>SUM(M209:M219)</f>
        <v>815.2424471574999</v>
      </c>
      <c r="O220" s="106">
        <f>SUM(O209:O219)</f>
        <v>814.1174471574999</v>
      </c>
      <c r="Q220" s="106">
        <f>SUM(Q209:Q219)</f>
        <v>815.3049471574999</v>
      </c>
      <c r="S220" s="106">
        <f>SUM(S209:S219)</f>
        <v>815.2424471574999</v>
      </c>
    </row>
    <row r="221" spans="7:19" ht="13.5" customHeight="1" thickTop="1">
      <c r="G221" s="47"/>
      <c r="I221" s="47"/>
      <c r="K221" s="47"/>
      <c r="M221" s="47"/>
      <c r="O221" s="47"/>
      <c r="Q221" s="47"/>
      <c r="S221" s="47"/>
    </row>
    <row r="222" spans="1:19" ht="12.75">
      <c r="A222" t="s">
        <v>218</v>
      </c>
      <c r="G222" s="150">
        <v>0</v>
      </c>
      <c r="H222" s="151"/>
      <c r="I222" s="150">
        <v>0</v>
      </c>
      <c r="J222" s="151"/>
      <c r="K222" s="150">
        <v>0</v>
      </c>
      <c r="L222" s="151"/>
      <c r="M222" s="150">
        <v>1</v>
      </c>
      <c r="N222" s="151"/>
      <c r="O222" s="152">
        <v>1</v>
      </c>
      <c r="P222" s="153"/>
      <c r="Q222" s="152">
        <v>1</v>
      </c>
      <c r="S222" s="154">
        <f ca="1">OFFSET(E222,0,$S$185*2)</f>
        <v>1</v>
      </c>
    </row>
    <row r="223" spans="1:38" s="19" customFormat="1" ht="12.75">
      <c r="A223" s="5"/>
      <c r="B223" s="5"/>
      <c r="C223" s="5"/>
      <c r="D223" s="5"/>
      <c r="F223" s="5"/>
      <c r="G223" s="5"/>
      <c r="H223" s="5"/>
      <c r="I223" s="5"/>
      <c r="J223" s="5"/>
      <c r="K223" s="5"/>
      <c r="L223" s="5"/>
      <c r="M223" s="5"/>
      <c r="N223" s="5"/>
      <c r="O223" s="5"/>
      <c r="P223" s="5"/>
      <c r="Q223" s="5"/>
      <c r="R223" s="5"/>
      <c r="S223" s="5"/>
      <c r="T223" s="5"/>
      <c r="U223" s="5"/>
      <c r="V223" s="5"/>
      <c r="W223" s="5"/>
      <c r="AB223" s="5"/>
      <c r="AC223" s="5"/>
      <c r="AD223" s="5"/>
      <c r="AE223" s="5"/>
      <c r="AF223" s="5"/>
      <c r="AG223" s="5"/>
      <c r="AH223" s="5"/>
      <c r="AI223" s="5"/>
      <c r="AJ223" s="5"/>
      <c r="AK223" s="5"/>
      <c r="AL223" s="5"/>
    </row>
    <row r="224" spans="1:38" ht="12.75">
      <c r="A224" s="19" t="s">
        <v>111</v>
      </c>
      <c r="B224" s="19"/>
      <c r="C224" s="19"/>
      <c r="D224" s="19"/>
      <c r="F224" s="19"/>
      <c r="G224" s="109">
        <f>G220-G206</f>
        <v>0</v>
      </c>
      <c r="H224" s="19"/>
      <c r="I224" s="109">
        <f>I220-I206</f>
        <v>0</v>
      </c>
      <c r="J224" s="19"/>
      <c r="K224" s="109">
        <f>K220-K206</f>
        <v>0</v>
      </c>
      <c r="L224" s="19"/>
      <c r="M224" s="109">
        <f>M220-M206</f>
        <v>0</v>
      </c>
      <c r="N224" s="19"/>
      <c r="O224" s="109">
        <f>O220-O206</f>
        <v>0</v>
      </c>
      <c r="P224" s="19"/>
      <c r="Q224" s="109">
        <f>Q220-Q206</f>
        <v>0</v>
      </c>
      <c r="R224" s="19"/>
      <c r="S224" s="109">
        <f>S220-S206</f>
        <v>0</v>
      </c>
      <c r="T224" s="19"/>
      <c r="U224" s="19"/>
      <c r="V224" s="19"/>
      <c r="W224" s="19"/>
      <c r="AB224" s="19"/>
      <c r="AC224" s="19"/>
      <c r="AD224" s="19"/>
      <c r="AE224" s="19"/>
      <c r="AF224" s="19"/>
      <c r="AG224" s="19"/>
      <c r="AH224" s="19"/>
      <c r="AI224" s="19"/>
      <c r="AJ224" s="19"/>
      <c r="AK224" s="19"/>
      <c r="AL224" s="19"/>
    </row>
    <row r="226" spans="1:35" ht="12.75">
      <c r="A226" s="4" t="s">
        <v>163</v>
      </c>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ht="12.75">
      <c r="A227" s="3" t="str">
        <f>$A$2</f>
        <v>($ in millions, except per share data)</v>
      </c>
    </row>
    <row r="228" spans="7:35" ht="13.5" customHeight="1" thickBot="1">
      <c r="G228" s="130" t="s">
        <v>164</v>
      </c>
      <c r="H228" s="131"/>
      <c r="I228" s="132" t="s">
        <v>165</v>
      </c>
      <c r="J228" s="132"/>
      <c r="K228" s="132"/>
      <c r="L228" s="132"/>
      <c r="M228" s="132"/>
      <c r="N228" s="132"/>
      <c r="O228" s="132"/>
      <c r="P228" s="132"/>
      <c r="Q228" s="132"/>
      <c r="R228" s="133"/>
      <c r="S228" s="82" t="s">
        <v>166</v>
      </c>
      <c r="U228" s="132" t="s">
        <v>167</v>
      </c>
      <c r="V228" s="132"/>
      <c r="W228" s="132"/>
      <c r="X228" s="132"/>
      <c r="Y228" s="132"/>
      <c r="Z228" s="132"/>
      <c r="AA228" s="132"/>
      <c r="AB228" s="132"/>
      <c r="AC228" s="132"/>
      <c r="AD228" s="132"/>
      <c r="AE228" s="132"/>
      <c r="AF228" s="132"/>
      <c r="AG228" s="132"/>
      <c r="AH228" s="132"/>
      <c r="AI228" s="132"/>
    </row>
    <row r="229" spans="1:39" ht="12.75">
      <c r="A229" s="83" t="s">
        <v>168</v>
      </c>
      <c r="AM229" s="10"/>
    </row>
    <row r="230" spans="2:21" ht="12.75">
      <c r="B230" t="s">
        <v>169</v>
      </c>
      <c r="G230" s="134">
        <v>0.0065</v>
      </c>
      <c r="I230" s="135" t="s">
        <v>191</v>
      </c>
      <c r="K230" s="134"/>
      <c r="M230" s="134"/>
      <c r="O230" s="134"/>
      <c r="Q230" s="19"/>
      <c r="U230" t="s">
        <v>170</v>
      </c>
    </row>
    <row r="231" spans="2:21" ht="12.75">
      <c r="B231" t="s">
        <v>171</v>
      </c>
      <c r="G231" s="134">
        <v>0.0065</v>
      </c>
      <c r="I231" s="135" t="s">
        <v>191</v>
      </c>
      <c r="K231" s="134"/>
      <c r="M231" s="134"/>
      <c r="O231" s="134"/>
      <c r="Q231" s="19"/>
      <c r="U231" t="s">
        <v>170</v>
      </c>
    </row>
    <row r="232" spans="1:17" ht="12.75">
      <c r="A232" s="83" t="s">
        <v>172</v>
      </c>
      <c r="G232" s="19"/>
      <c r="I232" s="19"/>
      <c r="K232" s="19"/>
      <c r="M232" s="19"/>
      <c r="O232" s="19"/>
      <c r="Q232" s="19"/>
    </row>
    <row r="233" spans="2:21" ht="12.75">
      <c r="B233" t="s">
        <v>182</v>
      </c>
      <c r="G233" s="134">
        <v>0.0175</v>
      </c>
      <c r="I233" s="135" t="s">
        <v>173</v>
      </c>
      <c r="K233" s="134"/>
      <c r="M233" s="134"/>
      <c r="O233" s="134"/>
      <c r="Q233" s="136">
        <f>revolver</f>
        <v>100</v>
      </c>
      <c r="S233" s="136">
        <f>G233*Q233</f>
        <v>1.7500000000000002</v>
      </c>
      <c r="U233" t="s">
        <v>174</v>
      </c>
    </row>
    <row r="234" spans="2:30" ht="12.75">
      <c r="B234" t="s">
        <v>183</v>
      </c>
      <c r="G234" s="134">
        <v>0.02</v>
      </c>
      <c r="I234" s="135" t="s">
        <v>175</v>
      </c>
      <c r="K234" s="134"/>
      <c r="M234" s="134"/>
      <c r="O234" s="134"/>
      <c r="Q234" s="19"/>
      <c r="U234" t="s">
        <v>174</v>
      </c>
      <c r="AD234" s="137"/>
    </row>
    <row r="235" spans="2:30" ht="12.75">
      <c r="B235" t="s">
        <v>184</v>
      </c>
      <c r="G235" s="134">
        <v>0.0175</v>
      </c>
      <c r="I235" s="135" t="s">
        <v>175</v>
      </c>
      <c r="K235" s="134"/>
      <c r="M235" s="134"/>
      <c r="O235" s="134"/>
      <c r="Q235" s="19"/>
      <c r="U235" t="s">
        <v>174</v>
      </c>
      <c r="AD235" s="137"/>
    </row>
    <row r="236" spans="2:30" ht="12.75">
      <c r="B236" t="s">
        <v>185</v>
      </c>
      <c r="G236" s="134">
        <v>0.0225</v>
      </c>
      <c r="I236" s="135" t="s">
        <v>175</v>
      </c>
      <c r="K236" s="134"/>
      <c r="M236" s="134"/>
      <c r="O236" s="134"/>
      <c r="Q236" s="19"/>
      <c r="U236" t="s">
        <v>174</v>
      </c>
      <c r="AD236" s="137"/>
    </row>
    <row r="237" spans="2:21" ht="12.75">
      <c r="B237" t="s">
        <v>186</v>
      </c>
      <c r="G237" s="134">
        <v>0.03</v>
      </c>
      <c r="I237" s="135" t="s">
        <v>175</v>
      </c>
      <c r="K237" s="134"/>
      <c r="M237" s="134"/>
      <c r="O237" s="134"/>
      <c r="Q237" s="19"/>
      <c r="U237" t="s">
        <v>174</v>
      </c>
    </row>
    <row r="238" spans="2:21" ht="12.75">
      <c r="B238" t="s">
        <v>187</v>
      </c>
      <c r="G238" s="134">
        <v>0</v>
      </c>
      <c r="I238" s="135" t="s">
        <v>175</v>
      </c>
      <c r="K238" s="134"/>
      <c r="M238" s="134"/>
      <c r="O238" s="134"/>
      <c r="Q238" s="19"/>
      <c r="U238" t="s">
        <v>174</v>
      </c>
    </row>
    <row r="239" spans="2:21" ht="12.75">
      <c r="B239" t="s">
        <v>188</v>
      </c>
      <c r="G239" s="134">
        <v>0</v>
      </c>
      <c r="I239" s="135" t="s">
        <v>175</v>
      </c>
      <c r="K239" s="134"/>
      <c r="M239" s="134"/>
      <c r="O239" s="134"/>
      <c r="Q239" s="19"/>
      <c r="U239" t="s">
        <v>174</v>
      </c>
    </row>
    <row r="240" spans="2:21" ht="12.75">
      <c r="B240" t="s">
        <v>189</v>
      </c>
      <c r="G240" s="134">
        <v>0</v>
      </c>
      <c r="I240" s="135" t="s">
        <v>175</v>
      </c>
      <c r="K240" s="134"/>
      <c r="M240" s="134"/>
      <c r="O240" s="134"/>
      <c r="Q240" s="19"/>
      <c r="U240" t="s">
        <v>176</v>
      </c>
    </row>
    <row r="241" spans="2:21" ht="12.75">
      <c r="B241" t="s">
        <v>190</v>
      </c>
      <c r="G241" s="134">
        <v>0</v>
      </c>
      <c r="I241" s="135" t="s">
        <v>175</v>
      </c>
      <c r="K241" s="134"/>
      <c r="M241" s="134"/>
      <c r="O241" s="134"/>
      <c r="Q241" s="19"/>
      <c r="U241" t="s">
        <v>176</v>
      </c>
    </row>
    <row r="242" ht="12.75">
      <c r="A242" s="83" t="s">
        <v>177</v>
      </c>
    </row>
    <row r="243" spans="2:21" ht="12.75">
      <c r="B243" t="s">
        <v>178</v>
      </c>
      <c r="G243" s="77"/>
      <c r="I243" s="77"/>
      <c r="K243" s="77"/>
      <c r="M243" s="77"/>
      <c r="O243" s="77"/>
      <c r="Q243" s="77"/>
      <c r="S243" s="77">
        <v>3</v>
      </c>
      <c r="U243" t="s">
        <v>170</v>
      </c>
    </row>
    <row r="244" spans="2:21" ht="12.75">
      <c r="B244" t="s">
        <v>179</v>
      </c>
      <c r="G244" s="38"/>
      <c r="I244" s="38"/>
      <c r="K244" s="38"/>
      <c r="M244" s="38"/>
      <c r="O244" s="38"/>
      <c r="Q244" s="38"/>
      <c r="S244" s="38">
        <v>2.5</v>
      </c>
      <c r="U244" t="s">
        <v>170</v>
      </c>
    </row>
    <row r="245" spans="2:21" ht="12.75">
      <c r="B245" t="s">
        <v>180</v>
      </c>
      <c r="G245" s="38"/>
      <c r="I245" s="38"/>
      <c r="K245" s="38"/>
      <c r="M245" s="38"/>
      <c r="O245" s="38"/>
      <c r="Q245" s="38"/>
      <c r="S245" s="38">
        <v>1</v>
      </c>
      <c r="U245" t="s">
        <v>170</v>
      </c>
    </row>
    <row r="246" spans="2:21" ht="12.75">
      <c r="B246" t="s">
        <v>66</v>
      </c>
      <c r="G246" s="38"/>
      <c r="I246" s="38"/>
      <c r="K246" s="38"/>
      <c r="M246" s="38"/>
      <c r="O246" s="117"/>
      <c r="Q246" s="38"/>
      <c r="S246" s="38">
        <v>2</v>
      </c>
      <c r="U246" t="s">
        <v>170</v>
      </c>
    </row>
    <row r="247" spans="2:21" ht="12.75">
      <c r="B247" t="s">
        <v>181</v>
      </c>
      <c r="G247" s="38"/>
      <c r="I247" s="38"/>
      <c r="K247" s="38"/>
      <c r="M247" s="38"/>
      <c r="O247" s="38"/>
      <c r="Q247" s="38"/>
      <c r="S247" s="38">
        <v>0</v>
      </c>
      <c r="U247" t="s">
        <v>170</v>
      </c>
    </row>
  </sheetData>
  <conditionalFormatting sqref="G222:Q222 Q33 Q29 M145">
    <cfRule type="cellIs" priority="1" dxfId="0" operator="greaterThan" stopIfTrue="1">
      <formula>1</formula>
    </cfRule>
    <cfRule type="cellIs" priority="2" dxfId="0" operator="between" stopIfTrue="1">
      <formula>0.00001</formula>
      <formula>0.99999</formula>
    </cfRule>
    <cfRule type="cellIs" priority="3" dxfId="0" operator="lessThan" stopIfTrue="1">
      <formula>0</formula>
    </cfRule>
  </conditionalFormatting>
  <dataValidations count="4">
    <dataValidation type="whole" showInputMessage="1" showErrorMessage="1" errorTitle="Validation Error" error="Enter either a 0 or 1." sqref="Q33 Q29">
      <formula1>0</formula1>
      <formula2>1</formula2>
    </dataValidation>
    <dataValidation type="whole" operator="greaterThanOrEqual" showInputMessage="1" showErrorMessage="1" sqref="Y27">
      <formula1>1</formula1>
    </dataValidation>
    <dataValidation type="decimal" operator="equal" allowBlank="1" showInputMessage="1" showErrorMessage="1" sqref="G144:G146">
      <formula1>0</formula1>
    </dataValidation>
    <dataValidation type="whole" showInputMessage="1" showErrorMessage="1" errorTitle="Validation Error" error="Enter either 0 or 1." sqref="I140:I146">
      <formula1>0</formula1>
      <formula2>1</formula2>
    </dataValidation>
  </dataValidations>
  <printOptions/>
  <pageMargins left="0.75" right="0.75" top="1" bottom="1" header="0.5" footer="0.5"/>
  <pageSetup horizontalDpi="300" verticalDpi="300" orientation="portrait" paperSize="119" r:id="rId3"/>
  <legacyDrawing r:id="rId2"/>
</worksheet>
</file>

<file path=xl/worksheets/sheet2.xml><?xml version="1.0" encoding="utf-8"?>
<worksheet xmlns="http://schemas.openxmlformats.org/spreadsheetml/2006/main" xmlns:r="http://schemas.openxmlformats.org/officeDocument/2006/relationships">
  <dimension ref="A1:X66"/>
  <sheetViews>
    <sheetView showGridLines="0" zoomScale="80" zoomScaleNormal="80" workbookViewId="0" topLeftCell="A1">
      <selection activeCell="A1" sqref="A1"/>
    </sheetView>
  </sheetViews>
  <sheetFormatPr defaultColWidth="9.140625" defaultRowHeight="12.75"/>
  <cols>
    <col min="1" max="1" width="0.85546875" style="0" customWidth="1"/>
    <col min="2" max="3" width="1.7109375" style="0" customWidth="1"/>
    <col min="4"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s>
  <sheetData>
    <row r="1" spans="1:24" ht="24" customHeight="1" thickBot="1">
      <c r="A1" s="1" t="str">
        <f>tgt&amp;" Income Statement"</f>
        <v>TargetCo Income Statement</v>
      </c>
      <c r="B1" s="18"/>
      <c r="C1" s="2"/>
      <c r="D1" s="2"/>
      <c r="E1" s="2"/>
      <c r="F1" s="2"/>
      <c r="G1" s="2"/>
      <c r="H1" s="2"/>
      <c r="I1" s="2"/>
      <c r="J1" s="2"/>
      <c r="K1" s="2"/>
      <c r="L1" s="2"/>
      <c r="M1" s="2"/>
      <c r="N1" s="2"/>
      <c r="O1" s="2"/>
      <c r="P1" s="2"/>
      <c r="Q1" s="2"/>
      <c r="R1" s="2"/>
      <c r="S1" s="2"/>
      <c r="T1" s="2"/>
      <c r="U1" s="2"/>
      <c r="V1" s="2"/>
      <c r="W1" s="2"/>
      <c r="X1" s="2"/>
    </row>
    <row r="2" spans="1:2" ht="12.75">
      <c r="A2" s="3" t="s">
        <v>0</v>
      </c>
      <c r="B2" s="19"/>
    </row>
    <row r="4" spans="7:24" ht="13.5" customHeight="1" thickBot="1">
      <c r="G4" s="20" t="str">
        <f>"FY Ended "&amp;TEXT(fye,"mmmm d")&amp;","</f>
        <v>FY Ended September 30,</v>
      </c>
      <c r="H4" s="20"/>
      <c r="I4" s="20"/>
      <c r="J4" s="20"/>
      <c r="K4" s="20"/>
      <c r="M4" s="20" t="str">
        <f>"FY Ending "&amp;TEXT(fye,"mmmm d")&amp;","</f>
        <v>FY Ending September 30,</v>
      </c>
      <c r="N4" s="21"/>
      <c r="O4" s="21"/>
      <c r="P4" s="21"/>
      <c r="Q4" s="21"/>
      <c r="R4" s="21"/>
      <c r="S4" s="21"/>
      <c r="T4" s="21"/>
      <c r="U4" s="21"/>
      <c r="X4" s="22" t="s">
        <v>21</v>
      </c>
    </row>
    <row r="5" spans="7:24" ht="13.5" customHeight="1" thickBot="1">
      <c r="G5" s="23">
        <f>I5-1</f>
        <v>2005</v>
      </c>
      <c r="H5" s="24"/>
      <c r="I5" s="23">
        <f>K5-1</f>
        <v>2006</v>
      </c>
      <c r="K5" s="25">
        <v>2007</v>
      </c>
      <c r="M5" s="26">
        <f>K5+1</f>
        <v>2008</v>
      </c>
      <c r="O5" s="26">
        <f>M5+1</f>
        <v>2009</v>
      </c>
      <c r="Q5" s="26">
        <f>O5+1</f>
        <v>2010</v>
      </c>
      <c r="R5" s="27"/>
      <c r="S5" s="28">
        <f>Q5+1</f>
        <v>2011</v>
      </c>
      <c r="U5" s="28">
        <f>S5+1</f>
        <v>2012</v>
      </c>
      <c r="X5" s="29" t="str">
        <f>M5&amp;"-"&amp;U5</f>
        <v>2008-2012</v>
      </c>
    </row>
    <row r="6" ht="4.5" customHeight="1"/>
    <row r="7" spans="2:24" s="30" customFormat="1" ht="12.75">
      <c r="B7" s="30" t="s">
        <v>22</v>
      </c>
      <c r="G7" s="31">
        <v>370.8</v>
      </c>
      <c r="I7" s="31">
        <v>380.8</v>
      </c>
      <c r="K7" s="31">
        <v>402.5</v>
      </c>
      <c r="M7" s="31">
        <v>458.1</v>
      </c>
      <c r="O7" s="31">
        <v>468</v>
      </c>
      <c r="Q7" s="31">
        <v>470.5</v>
      </c>
      <c r="S7" s="32">
        <f>Q7*(1+S8)</f>
        <v>475.205</v>
      </c>
      <c r="U7" s="32">
        <f>S7*(1+U8)</f>
        <v>479.95705</v>
      </c>
      <c r="X7" s="33">
        <f>(U7/M7)^(1/(U$5-$M$5))-1</f>
        <v>0.011720432226423716</v>
      </c>
    </row>
    <row r="8" spans="3:24" s="19" customFormat="1" ht="12.75" customHeight="1">
      <c r="C8" s="19" t="s">
        <v>23</v>
      </c>
      <c r="G8" s="34" t="s">
        <v>24</v>
      </c>
      <c r="I8" s="33">
        <f>I7/G7-1</f>
        <v>0.026968716289104577</v>
      </c>
      <c r="K8" s="33">
        <f>K7/I7-1</f>
        <v>0.05698529411764697</v>
      </c>
      <c r="M8" s="33">
        <f>M7/K7-1</f>
        <v>0.1381366459627329</v>
      </c>
      <c r="O8" s="33">
        <f>O7/M7-1</f>
        <v>0.0216110019646365</v>
      </c>
      <c r="Q8" s="33">
        <f>Q7/O7-1</f>
        <v>0.005341880341880323</v>
      </c>
      <c r="S8" s="35">
        <v>0.01</v>
      </c>
      <c r="U8" s="33">
        <f>S8</f>
        <v>0.01</v>
      </c>
      <c r="X8" s="36"/>
    </row>
    <row r="9" ht="4.5" customHeight="1"/>
    <row r="10" spans="2:21" s="37" customFormat="1" ht="12.75">
      <c r="B10" s="37" t="s">
        <v>25</v>
      </c>
      <c r="G10" s="38">
        <v>182.5</v>
      </c>
      <c r="I10" s="38">
        <v>188.6</v>
      </c>
      <c r="K10" s="38">
        <v>207.7</v>
      </c>
      <c r="M10" s="38">
        <v>239.6</v>
      </c>
      <c r="O10" s="38">
        <v>249.8</v>
      </c>
      <c r="Q10" s="38">
        <v>252.2</v>
      </c>
      <c r="S10" s="39">
        <f>S11*S7</f>
        <v>254.72199999999998</v>
      </c>
      <c r="U10" s="39">
        <f>U11*U7</f>
        <v>257.26921999999996</v>
      </c>
    </row>
    <row r="11" spans="3:24" s="19" customFormat="1" ht="12.75" customHeight="1" thickBot="1">
      <c r="C11" s="19" t="s">
        <v>26</v>
      </c>
      <c r="G11" s="40">
        <f>G10/G7</f>
        <v>0.49217907227615965</v>
      </c>
      <c r="I11" s="40">
        <f>I10/I7</f>
        <v>0.49527310924369744</v>
      </c>
      <c r="K11" s="40">
        <f>K10/K7</f>
        <v>0.5160248447204968</v>
      </c>
      <c r="M11" s="40">
        <f>M10/M7</f>
        <v>0.5230299061340319</v>
      </c>
      <c r="O11" s="40">
        <f>O10/O7</f>
        <v>0.5337606837606838</v>
      </c>
      <c r="Q11" s="40">
        <f>Q10/Q7</f>
        <v>0.5360255047821466</v>
      </c>
      <c r="S11" s="41">
        <f>Q11</f>
        <v>0.5360255047821466</v>
      </c>
      <c r="U11" s="40">
        <f>S11</f>
        <v>0.5360255047821466</v>
      </c>
      <c r="X11" s="36"/>
    </row>
    <row r="12" spans="2:24" ht="12.75">
      <c r="B12" t="s">
        <v>27</v>
      </c>
      <c r="G12" s="42">
        <f>G7-G10</f>
        <v>188.3</v>
      </c>
      <c r="I12" s="42">
        <f>I7-I10</f>
        <v>192.20000000000002</v>
      </c>
      <c r="K12" s="42">
        <f>K7-K10</f>
        <v>194.8</v>
      </c>
      <c r="M12" s="42">
        <f>M7-M10</f>
        <v>218.50000000000003</v>
      </c>
      <c r="O12" s="42">
        <f>O7-O10</f>
        <v>218.2</v>
      </c>
      <c r="Q12" s="42">
        <f>Q7-Q10</f>
        <v>218.3</v>
      </c>
      <c r="S12" s="42">
        <f>S7-S10</f>
        <v>220.483</v>
      </c>
      <c r="U12" s="42">
        <f>U7-U10</f>
        <v>222.68783000000002</v>
      </c>
      <c r="X12" s="33">
        <f>(U12/M12)^(1/(U$5-$M$5))-1</f>
        <v>0.004757508860870674</v>
      </c>
    </row>
    <row r="13" spans="3:24" s="19" customFormat="1" ht="12.75" customHeight="1">
      <c r="C13" s="19" t="s">
        <v>28</v>
      </c>
      <c r="G13" s="40">
        <f>G12/G$7</f>
        <v>0.5078209277238404</v>
      </c>
      <c r="I13" s="40">
        <f>I12/I$7</f>
        <v>0.5047268907563025</v>
      </c>
      <c r="K13" s="40">
        <f>K12/K$7</f>
        <v>0.48397515527950313</v>
      </c>
      <c r="M13" s="40">
        <f>M12/M$7</f>
        <v>0.47697009386596817</v>
      </c>
      <c r="O13" s="40">
        <f>O12/O$7</f>
        <v>0.4662393162393162</v>
      </c>
      <c r="Q13" s="40">
        <f>Q12/Q$7</f>
        <v>0.4639744952178534</v>
      </c>
      <c r="S13" s="40">
        <f>S12/S$7</f>
        <v>0.4639744952178534</v>
      </c>
      <c r="U13" s="40">
        <f>U12/U$7</f>
        <v>0.4639744952178534</v>
      </c>
      <c r="X13" s="36"/>
    </row>
    <row r="14" ht="4.5" customHeight="1"/>
    <row r="15" spans="2:21" s="37" customFormat="1" ht="12.75" customHeight="1">
      <c r="B15" s="37" t="s">
        <v>29</v>
      </c>
      <c r="G15" s="38">
        <v>46.6</v>
      </c>
      <c r="I15" s="43">
        <v>61.9</v>
      </c>
      <c r="K15" s="38">
        <v>74.8</v>
      </c>
      <c r="M15" s="38">
        <v>88.3</v>
      </c>
      <c r="O15" s="38">
        <v>91.7</v>
      </c>
      <c r="Q15" s="38">
        <v>92.4</v>
      </c>
      <c r="S15" s="39">
        <f>S16*S7</f>
        <v>93.324</v>
      </c>
      <c r="U15" s="39">
        <f>U16*U7</f>
        <v>94.25724</v>
      </c>
    </row>
    <row r="16" spans="3:24" s="19" customFormat="1" ht="12.75" customHeight="1">
      <c r="C16" s="19" t="s">
        <v>26</v>
      </c>
      <c r="G16" s="40">
        <f>G15/G$7</f>
        <v>0.1256742179072276</v>
      </c>
      <c r="I16" s="40">
        <f>I15/I$7</f>
        <v>0.16255252100840334</v>
      </c>
      <c r="K16" s="40">
        <f>K15/K$7</f>
        <v>0.18583850931677018</v>
      </c>
      <c r="M16" s="40">
        <f>M15/M$7</f>
        <v>0.19275267408862692</v>
      </c>
      <c r="O16" s="40">
        <f>O15/O$7</f>
        <v>0.19594017094017094</v>
      </c>
      <c r="Q16" s="40">
        <f>Q15/Q$7</f>
        <v>0.19638682252922424</v>
      </c>
      <c r="S16" s="41">
        <f>Q16</f>
        <v>0.19638682252922424</v>
      </c>
      <c r="U16" s="40">
        <f>S16</f>
        <v>0.19638682252922424</v>
      </c>
      <c r="X16" s="36"/>
    </row>
    <row r="17" ht="4.5" customHeight="1"/>
    <row r="18" spans="1:22" ht="4.5" customHeight="1">
      <c r="A18" s="44"/>
      <c r="B18" s="44"/>
      <c r="C18" s="44"/>
      <c r="D18" s="44"/>
      <c r="E18" s="44"/>
      <c r="F18" s="44"/>
      <c r="G18" s="44"/>
      <c r="H18" s="44"/>
      <c r="I18" s="44"/>
      <c r="J18" s="44"/>
      <c r="K18" s="44"/>
      <c r="L18" s="44"/>
      <c r="M18" s="44"/>
      <c r="N18" s="44"/>
      <c r="O18" s="44"/>
      <c r="P18" s="44"/>
      <c r="Q18" s="44"/>
      <c r="R18" s="44"/>
      <c r="S18" s="44"/>
      <c r="T18" s="44"/>
      <c r="U18" s="44"/>
      <c r="V18" s="45"/>
    </row>
    <row r="19" spans="1:24" s="10" customFormat="1" ht="12.75">
      <c r="A19" s="46"/>
      <c r="B19" s="46" t="s">
        <v>30</v>
      </c>
      <c r="C19" s="46"/>
      <c r="D19" s="46"/>
      <c r="E19" s="46"/>
      <c r="F19" s="46"/>
      <c r="G19" s="47">
        <f>G12-G15</f>
        <v>141.70000000000002</v>
      </c>
      <c r="H19" s="46"/>
      <c r="I19" s="47">
        <f>I12-I15</f>
        <v>130.3</v>
      </c>
      <c r="J19" s="46"/>
      <c r="K19" s="47">
        <f>K12-K15</f>
        <v>120.00000000000001</v>
      </c>
      <c r="L19" s="46"/>
      <c r="M19" s="47">
        <f>M12-M15</f>
        <v>130.20000000000005</v>
      </c>
      <c r="N19" s="46"/>
      <c r="O19" s="47">
        <f>O12-O15</f>
        <v>126.49999999999999</v>
      </c>
      <c r="P19" s="46"/>
      <c r="Q19" s="47">
        <f>Q12-Q15</f>
        <v>125.9</v>
      </c>
      <c r="R19" s="46"/>
      <c r="S19" s="47">
        <f>S12-S15</f>
        <v>127.159</v>
      </c>
      <c r="T19" s="46"/>
      <c r="U19" s="47">
        <f>U12-U15</f>
        <v>128.43059000000002</v>
      </c>
      <c r="V19" s="48"/>
      <c r="X19" s="33">
        <f>(U19/M19)^(1/(U$5-$M$5))-1</f>
        <v>-0.003414937546371344</v>
      </c>
    </row>
    <row r="20" spans="1:24" s="19" customFormat="1" ht="12.75" customHeight="1">
      <c r="A20" s="49"/>
      <c r="B20" s="49"/>
      <c r="C20" s="49" t="s">
        <v>28</v>
      </c>
      <c r="D20" s="49"/>
      <c r="E20" s="49"/>
      <c r="F20" s="49"/>
      <c r="G20" s="50">
        <f>G19/G$7</f>
        <v>0.38214670981661275</v>
      </c>
      <c r="H20" s="49"/>
      <c r="I20" s="50">
        <f>I19/I$7</f>
        <v>0.34217436974789917</v>
      </c>
      <c r="J20" s="49"/>
      <c r="K20" s="50">
        <f>K19/K$7</f>
        <v>0.2981366459627329</v>
      </c>
      <c r="L20" s="49"/>
      <c r="M20" s="50">
        <f>M19/M$7</f>
        <v>0.2842174197773413</v>
      </c>
      <c r="N20" s="49"/>
      <c r="O20" s="50">
        <f>O19/O$7</f>
        <v>0.2702991452991453</v>
      </c>
      <c r="P20" s="49"/>
      <c r="Q20" s="50">
        <f>Q19/Q$7</f>
        <v>0.26758767268862915</v>
      </c>
      <c r="R20" s="49"/>
      <c r="S20" s="50">
        <f>S19/S$7</f>
        <v>0.26758767268862915</v>
      </c>
      <c r="T20" s="49"/>
      <c r="U20" s="50">
        <f>U19/U$7</f>
        <v>0.26758767268862915</v>
      </c>
      <c r="V20" s="51"/>
      <c r="X20" s="36"/>
    </row>
    <row r="21" spans="1:22" ht="4.5" customHeight="1">
      <c r="A21" s="6"/>
      <c r="B21" s="6"/>
      <c r="C21" s="6"/>
      <c r="D21" s="6"/>
      <c r="E21" s="6"/>
      <c r="F21" s="6"/>
      <c r="G21" s="6"/>
      <c r="H21" s="6"/>
      <c r="I21" s="6"/>
      <c r="J21" s="6"/>
      <c r="K21" s="6"/>
      <c r="L21" s="6"/>
      <c r="M21" s="6"/>
      <c r="N21" s="6"/>
      <c r="O21" s="6"/>
      <c r="P21" s="6"/>
      <c r="Q21" s="6"/>
      <c r="R21" s="6"/>
      <c r="S21" s="6"/>
      <c r="T21" s="6"/>
      <c r="U21" s="6"/>
      <c r="V21" s="52"/>
    </row>
    <row r="22" spans="1:22" s="37" customFormat="1" ht="12.75" customHeight="1">
      <c r="A22" s="53"/>
      <c r="B22" s="53" t="s">
        <v>31</v>
      </c>
      <c r="C22" s="53"/>
      <c r="D22" s="53"/>
      <c r="E22" s="53"/>
      <c r="F22" s="53"/>
      <c r="G22" s="43">
        <v>14</v>
      </c>
      <c r="H22" s="53"/>
      <c r="I22" s="54">
        <v>11.1</v>
      </c>
      <c r="J22" s="53"/>
      <c r="K22" s="54">
        <v>12.1</v>
      </c>
      <c r="L22" s="53"/>
      <c r="M22" s="54">
        <v>14.1</v>
      </c>
      <c r="N22" s="53"/>
      <c r="O22" s="54">
        <v>14.1</v>
      </c>
      <c r="P22" s="53"/>
      <c r="Q22" s="54">
        <v>14.1</v>
      </c>
      <c r="R22" s="53"/>
      <c r="S22" s="55">
        <f>S23*S7</f>
        <v>14.241</v>
      </c>
      <c r="T22" s="53"/>
      <c r="U22" s="55">
        <f>U23*U7</f>
        <v>14.38341</v>
      </c>
      <c r="V22" s="56"/>
    </row>
    <row r="23" spans="1:24" s="19" customFormat="1" ht="12.75" customHeight="1">
      <c r="A23" s="49"/>
      <c r="B23" s="49"/>
      <c r="C23" s="49" t="s">
        <v>26</v>
      </c>
      <c r="D23" s="49"/>
      <c r="E23" s="49"/>
      <c r="F23" s="49"/>
      <c r="G23" s="50">
        <f>G22/G$7</f>
        <v>0.037756202804746494</v>
      </c>
      <c r="H23" s="49"/>
      <c r="I23" s="50">
        <f>I22/I$7</f>
        <v>0.029149159663865543</v>
      </c>
      <c r="J23" s="49"/>
      <c r="K23" s="50">
        <f>K22/K$7</f>
        <v>0.030062111801242235</v>
      </c>
      <c r="L23" s="49"/>
      <c r="M23" s="50">
        <f>M22/M$7</f>
        <v>0.03077930582842174</v>
      </c>
      <c r="N23" s="49"/>
      <c r="O23" s="50">
        <f>O22/O$7</f>
        <v>0.03012820512820513</v>
      </c>
      <c r="P23" s="49"/>
      <c r="Q23" s="50">
        <f>Q22/Q$7</f>
        <v>0.029968119022316685</v>
      </c>
      <c r="R23" s="49"/>
      <c r="S23" s="57">
        <f>Q23</f>
        <v>0.029968119022316685</v>
      </c>
      <c r="T23" s="49"/>
      <c r="U23" s="50">
        <f>S23</f>
        <v>0.029968119022316685</v>
      </c>
      <c r="V23" s="51"/>
      <c r="X23" s="36"/>
    </row>
    <row r="24" spans="1:22" s="37" customFormat="1" ht="12.75" customHeight="1">
      <c r="A24" s="53"/>
      <c r="B24" s="53" t="s">
        <v>32</v>
      </c>
      <c r="C24" s="53"/>
      <c r="D24" s="53"/>
      <c r="E24" s="53"/>
      <c r="F24" s="53"/>
      <c r="G24" s="43">
        <v>25.7</v>
      </c>
      <c r="H24" s="53"/>
      <c r="I24" s="54">
        <v>18.2</v>
      </c>
      <c r="J24" s="53"/>
      <c r="K24" s="54">
        <v>18.6</v>
      </c>
      <c r="L24" s="53"/>
      <c r="M24" s="54">
        <v>19.6</v>
      </c>
      <c r="N24" s="53"/>
      <c r="O24" s="54">
        <v>19.9</v>
      </c>
      <c r="P24" s="53"/>
      <c r="Q24" s="54">
        <v>20</v>
      </c>
      <c r="R24" s="53"/>
      <c r="S24" s="55">
        <f>Q24</f>
        <v>20</v>
      </c>
      <c r="T24" s="53"/>
      <c r="U24" s="55">
        <f>S24</f>
        <v>20</v>
      </c>
      <c r="V24" s="56"/>
    </row>
    <row r="25" spans="1:24" s="19" customFormat="1" ht="12.75" customHeight="1" thickBot="1">
      <c r="A25" s="49"/>
      <c r="B25" s="49"/>
      <c r="C25" s="49" t="s">
        <v>26</v>
      </c>
      <c r="D25" s="49"/>
      <c r="E25" s="49"/>
      <c r="F25" s="49"/>
      <c r="G25" s="50">
        <f>G24/G$7</f>
        <v>0.06930960086299892</v>
      </c>
      <c r="H25" s="49"/>
      <c r="I25" s="50">
        <f>I24/I$7</f>
        <v>0.04779411764705882</v>
      </c>
      <c r="J25" s="49"/>
      <c r="K25" s="50">
        <f>K24/K$7</f>
        <v>0.04621118012422361</v>
      </c>
      <c r="L25" s="49"/>
      <c r="M25" s="50">
        <f>M24/M$7</f>
        <v>0.0427854180309976</v>
      </c>
      <c r="N25" s="49"/>
      <c r="O25" s="50">
        <f>O24/O$7</f>
        <v>0.042521367521367516</v>
      </c>
      <c r="P25" s="49"/>
      <c r="Q25" s="50">
        <f>Q24/Q$7</f>
        <v>0.04250797024442083</v>
      </c>
      <c r="R25" s="49"/>
      <c r="S25" s="50">
        <f>S24/S$7</f>
        <v>0.042087099251901815</v>
      </c>
      <c r="T25" s="49"/>
      <c r="U25" s="50">
        <f>U24/U$7</f>
        <v>0.041670395298912685</v>
      </c>
      <c r="V25" s="51"/>
      <c r="X25" s="36"/>
    </row>
    <row r="26" spans="1:22" ht="12.75">
      <c r="A26" s="6"/>
      <c r="B26" s="6" t="s">
        <v>33</v>
      </c>
      <c r="C26" s="6"/>
      <c r="D26" s="6"/>
      <c r="E26" s="6"/>
      <c r="F26" s="6"/>
      <c r="G26" s="78">
        <f>G24+G22</f>
        <v>39.7</v>
      </c>
      <c r="H26" s="79"/>
      <c r="I26" s="78">
        <f>I24+I22</f>
        <v>29.299999999999997</v>
      </c>
      <c r="J26" s="79"/>
      <c r="K26" s="78">
        <f>K24+K22</f>
        <v>30.700000000000003</v>
      </c>
      <c r="L26" s="79"/>
      <c r="M26" s="78">
        <f>M24+M22</f>
        <v>33.7</v>
      </c>
      <c r="N26" s="79"/>
      <c r="O26" s="78">
        <f>O24+O22</f>
        <v>34</v>
      </c>
      <c r="P26" s="79"/>
      <c r="Q26" s="78">
        <f>Q24+Q22</f>
        <v>34.1</v>
      </c>
      <c r="R26" s="79"/>
      <c r="S26" s="78">
        <f>S24+S22</f>
        <v>34.241</v>
      </c>
      <c r="T26" s="79"/>
      <c r="U26" s="78">
        <f>U24+U22</f>
        <v>34.38341</v>
      </c>
      <c r="V26" s="52"/>
    </row>
    <row r="27" spans="1:24" s="19" customFormat="1" ht="12.75" customHeight="1">
      <c r="A27" s="49"/>
      <c r="B27" s="49"/>
      <c r="C27" s="49" t="s">
        <v>26</v>
      </c>
      <c r="D27" s="49"/>
      <c r="E27" s="49"/>
      <c r="F27" s="49"/>
      <c r="G27" s="50">
        <f>G26/G$7</f>
        <v>0.10706580366774542</v>
      </c>
      <c r="H27" s="49"/>
      <c r="I27" s="50">
        <f>I26/I$7</f>
        <v>0.07694327731092436</v>
      </c>
      <c r="J27" s="49"/>
      <c r="K27" s="50">
        <f>K26/K$7</f>
        <v>0.07627329192546585</v>
      </c>
      <c r="L27" s="49"/>
      <c r="M27" s="50">
        <f>M26/M$7</f>
        <v>0.07356472385941934</v>
      </c>
      <c r="N27" s="49"/>
      <c r="O27" s="50">
        <f>O26/O$7</f>
        <v>0.07264957264957266</v>
      </c>
      <c r="P27" s="49"/>
      <c r="Q27" s="50">
        <f>Q26/Q$7</f>
        <v>0.07247608926673751</v>
      </c>
      <c r="R27" s="49"/>
      <c r="S27" s="50">
        <f>S26/S$7</f>
        <v>0.0720552182742185</v>
      </c>
      <c r="T27" s="49"/>
      <c r="U27" s="50">
        <f>U26/U$7</f>
        <v>0.07163851432122936</v>
      </c>
      <c r="V27" s="51"/>
      <c r="X27" s="36"/>
    </row>
    <row r="28" spans="1:22" ht="4.5" customHeight="1">
      <c r="A28" s="6"/>
      <c r="B28" s="6"/>
      <c r="C28" s="6"/>
      <c r="D28" s="6"/>
      <c r="E28" s="6"/>
      <c r="F28" s="6"/>
      <c r="G28" s="6"/>
      <c r="H28" s="6"/>
      <c r="I28" s="6"/>
      <c r="J28" s="6"/>
      <c r="K28" s="6"/>
      <c r="L28" s="6"/>
      <c r="M28" s="6"/>
      <c r="N28" s="6"/>
      <c r="O28" s="6"/>
      <c r="P28" s="6"/>
      <c r="Q28" s="6"/>
      <c r="R28" s="6"/>
      <c r="S28" s="6"/>
      <c r="T28" s="6"/>
      <c r="U28" s="6"/>
      <c r="V28" s="52"/>
    </row>
    <row r="29" spans="1:22" s="37" customFormat="1" ht="12.75">
      <c r="A29" s="53"/>
      <c r="B29" s="53" t="s">
        <v>34</v>
      </c>
      <c r="C29" s="53"/>
      <c r="D29" s="53"/>
      <c r="E29" s="53"/>
      <c r="F29" s="53"/>
      <c r="G29" s="54">
        <v>16.5</v>
      </c>
      <c r="H29" s="53"/>
      <c r="I29" s="54">
        <v>13.4</v>
      </c>
      <c r="J29" s="53"/>
      <c r="K29" s="54">
        <v>11.3</v>
      </c>
      <c r="L29" s="53"/>
      <c r="M29" s="54">
        <v>10.8</v>
      </c>
      <c r="N29" s="53"/>
      <c r="O29" s="54">
        <v>10.6</v>
      </c>
      <c r="P29" s="53"/>
      <c r="Q29" s="54">
        <v>10.7</v>
      </c>
      <c r="R29" s="53"/>
      <c r="S29" s="55">
        <f>S30*S7</f>
        <v>10.806999999999999</v>
      </c>
      <c r="T29" s="53"/>
      <c r="U29" s="55">
        <f>U30*U7</f>
        <v>10.915069999999998</v>
      </c>
      <c r="V29" s="56"/>
    </row>
    <row r="30" spans="1:24" s="19" customFormat="1" ht="12.75" customHeight="1">
      <c r="A30" s="49"/>
      <c r="B30" s="49"/>
      <c r="C30" s="49" t="s">
        <v>26</v>
      </c>
      <c r="D30" s="49"/>
      <c r="E30" s="49"/>
      <c r="F30" s="49"/>
      <c r="G30" s="50">
        <f>G29/G$7</f>
        <v>0.04449838187702265</v>
      </c>
      <c r="H30" s="49"/>
      <c r="I30" s="50">
        <f>I29/I$7</f>
        <v>0.0351890756302521</v>
      </c>
      <c r="J30" s="49"/>
      <c r="K30" s="50">
        <f>K29/K$7</f>
        <v>0.028074534161490684</v>
      </c>
      <c r="L30" s="49"/>
      <c r="M30" s="50">
        <f>M29/M$7</f>
        <v>0.023575638506876228</v>
      </c>
      <c r="N30" s="49"/>
      <c r="O30" s="50">
        <f>O29/O$7</f>
        <v>0.02264957264957265</v>
      </c>
      <c r="P30" s="49"/>
      <c r="Q30" s="50">
        <f>Q29/Q$7</f>
        <v>0.022741764080765142</v>
      </c>
      <c r="R30" s="49"/>
      <c r="S30" s="57">
        <f>Q30</f>
        <v>0.022741764080765142</v>
      </c>
      <c r="T30" s="49"/>
      <c r="U30" s="50">
        <f>S30</f>
        <v>0.022741764080765142</v>
      </c>
      <c r="V30" s="51"/>
      <c r="X30" s="36"/>
    </row>
    <row r="31" spans="1:22" ht="4.5" customHeight="1">
      <c r="A31" s="6"/>
      <c r="B31" s="6"/>
      <c r="C31" s="6"/>
      <c r="D31" s="6"/>
      <c r="E31" s="6"/>
      <c r="F31" s="6"/>
      <c r="G31" s="6"/>
      <c r="H31" s="6"/>
      <c r="I31" s="6"/>
      <c r="J31" s="6"/>
      <c r="K31" s="6"/>
      <c r="L31" s="6"/>
      <c r="M31" s="6"/>
      <c r="N31" s="6"/>
      <c r="O31" s="6"/>
      <c r="P31" s="6"/>
      <c r="Q31" s="6"/>
      <c r="R31" s="6"/>
      <c r="S31" s="6"/>
      <c r="T31" s="6"/>
      <c r="U31" s="6"/>
      <c r="V31" s="52"/>
    </row>
    <row r="32" spans="1:24" s="10" customFormat="1" ht="12.75">
      <c r="A32" s="46"/>
      <c r="B32" s="46" t="s">
        <v>35</v>
      </c>
      <c r="C32" s="46"/>
      <c r="D32" s="46"/>
      <c r="E32" s="46"/>
      <c r="F32" s="46"/>
      <c r="G32" s="47">
        <f>G19-G26-G29</f>
        <v>85.50000000000001</v>
      </c>
      <c r="H32" s="46"/>
      <c r="I32" s="47">
        <f>I19-I26-I29</f>
        <v>87.60000000000001</v>
      </c>
      <c r="J32" s="46"/>
      <c r="K32" s="47">
        <f>K19-K26-K29</f>
        <v>78.00000000000001</v>
      </c>
      <c r="L32" s="46"/>
      <c r="M32" s="47">
        <f>M19-M26-M29</f>
        <v>85.70000000000005</v>
      </c>
      <c r="N32" s="46"/>
      <c r="O32" s="47">
        <f>O19-O26-O29</f>
        <v>81.89999999999999</v>
      </c>
      <c r="P32" s="46"/>
      <c r="Q32" s="47">
        <f>Q19-Q26-Q29</f>
        <v>81.10000000000001</v>
      </c>
      <c r="R32" s="46"/>
      <c r="S32" s="47">
        <f>S19-S26-S29</f>
        <v>82.111</v>
      </c>
      <c r="T32" s="46"/>
      <c r="U32" s="47">
        <f>U19-U26-U29</f>
        <v>83.13211000000003</v>
      </c>
      <c r="V32" s="48"/>
      <c r="X32" s="33">
        <f>(U32/M32)^(1/(U$5-$M$5))-1</f>
        <v>-0.0075766008655852035</v>
      </c>
    </row>
    <row r="33" spans="1:24" s="19" customFormat="1" ht="12.75" customHeight="1">
      <c r="A33" s="49"/>
      <c r="B33" s="49"/>
      <c r="C33" s="49" t="s">
        <v>28</v>
      </c>
      <c r="D33" s="49"/>
      <c r="E33" s="49"/>
      <c r="F33" s="49"/>
      <c r="G33" s="50">
        <f>G32/G$7</f>
        <v>0.2305825242718447</v>
      </c>
      <c r="H33" s="49"/>
      <c r="I33" s="50">
        <f>I32/I$7</f>
        <v>0.2300420168067227</v>
      </c>
      <c r="J33" s="49"/>
      <c r="K33" s="50">
        <f>K32/K$7</f>
        <v>0.19378881987577642</v>
      </c>
      <c r="L33" s="49"/>
      <c r="M33" s="50">
        <f>M32/M$7</f>
        <v>0.18707705741104572</v>
      </c>
      <c r="N33" s="49"/>
      <c r="O33" s="50">
        <f>O32/O$7</f>
        <v>0.175</v>
      </c>
      <c r="P33" s="49"/>
      <c r="Q33" s="50">
        <f>Q32/Q$7</f>
        <v>0.17236981934112647</v>
      </c>
      <c r="R33" s="49"/>
      <c r="S33" s="50">
        <f>S32/S$7</f>
        <v>0.1727906903336455</v>
      </c>
      <c r="T33" s="49"/>
      <c r="U33" s="50">
        <f>U32/U$7</f>
        <v>0.17320739428663467</v>
      </c>
      <c r="V33" s="51"/>
      <c r="X33" s="36"/>
    </row>
    <row r="34" spans="1:22" ht="4.5" customHeight="1">
      <c r="A34" s="6"/>
      <c r="B34" s="6"/>
      <c r="C34" s="6"/>
      <c r="D34" s="6"/>
      <c r="E34" s="6"/>
      <c r="F34" s="6"/>
      <c r="G34" s="6"/>
      <c r="H34" s="6"/>
      <c r="I34" s="6"/>
      <c r="J34" s="6"/>
      <c r="K34" s="6"/>
      <c r="L34" s="6"/>
      <c r="M34" s="6"/>
      <c r="N34" s="6"/>
      <c r="O34" s="6"/>
      <c r="P34" s="6"/>
      <c r="Q34" s="6"/>
      <c r="R34" s="6"/>
      <c r="S34" s="6"/>
      <c r="T34" s="6"/>
      <c r="U34" s="6"/>
      <c r="V34" s="52"/>
    </row>
    <row r="35" spans="1:24" s="10" customFormat="1" ht="12.75">
      <c r="A35" s="46"/>
      <c r="B35" s="46" t="s">
        <v>36</v>
      </c>
      <c r="C35" s="46"/>
      <c r="D35" s="46"/>
      <c r="E35" s="46"/>
      <c r="F35" s="46"/>
      <c r="G35" s="47">
        <f>G32+G24+G29</f>
        <v>127.70000000000002</v>
      </c>
      <c r="H35" s="46"/>
      <c r="I35" s="47">
        <f>I32+I24+I29</f>
        <v>119.20000000000002</v>
      </c>
      <c r="J35" s="46"/>
      <c r="K35" s="47">
        <f>K32+K24+K29</f>
        <v>107.90000000000002</v>
      </c>
      <c r="L35" s="46"/>
      <c r="M35" s="47">
        <f>M32+M24+M29</f>
        <v>116.10000000000004</v>
      </c>
      <c r="N35" s="46"/>
      <c r="O35" s="47">
        <f>O32+O24+O29</f>
        <v>112.39999999999998</v>
      </c>
      <c r="P35" s="46"/>
      <c r="Q35" s="47">
        <f>Q32+Q24+Q29</f>
        <v>111.80000000000001</v>
      </c>
      <c r="R35" s="46"/>
      <c r="S35" s="47">
        <f>S32+S24+S29</f>
        <v>112.918</v>
      </c>
      <c r="T35" s="46"/>
      <c r="U35" s="47">
        <f>U32+U24+U29</f>
        <v>114.04718000000003</v>
      </c>
      <c r="V35" s="48"/>
      <c r="X35" s="33">
        <f>(U35/M35)^(1/(U$5-$M$5))-1</f>
        <v>-0.004449985910014886</v>
      </c>
    </row>
    <row r="36" spans="1:24" s="19" customFormat="1" ht="12.75" customHeight="1">
      <c r="A36" s="49"/>
      <c r="B36" s="49"/>
      <c r="C36" s="49" t="s">
        <v>28</v>
      </c>
      <c r="D36" s="49"/>
      <c r="E36" s="49"/>
      <c r="F36" s="49"/>
      <c r="G36" s="50">
        <f>G35/G$7</f>
        <v>0.3443905070118663</v>
      </c>
      <c r="H36" s="49"/>
      <c r="I36" s="50">
        <f>I35/I$7</f>
        <v>0.31302521008403367</v>
      </c>
      <c r="J36" s="49"/>
      <c r="K36" s="50">
        <f>K35/K$7</f>
        <v>0.26807453416149074</v>
      </c>
      <c r="L36" s="49"/>
      <c r="M36" s="50">
        <f>M35/M$7</f>
        <v>0.2534381139489195</v>
      </c>
      <c r="N36" s="49"/>
      <c r="O36" s="50">
        <f>O35/O$7</f>
        <v>0.24017094017094012</v>
      </c>
      <c r="P36" s="49"/>
      <c r="Q36" s="50">
        <f>Q35/Q$7</f>
        <v>0.23761955366631246</v>
      </c>
      <c r="R36" s="49"/>
      <c r="S36" s="50">
        <f>S35/S$7</f>
        <v>0.23761955366631246</v>
      </c>
      <c r="T36" s="49"/>
      <c r="U36" s="50">
        <f>U35/U$7</f>
        <v>0.2376195536663125</v>
      </c>
      <c r="V36" s="51"/>
      <c r="X36" s="36"/>
    </row>
    <row r="37" spans="1:22" ht="4.5" customHeight="1">
      <c r="A37" s="58"/>
      <c r="B37" s="58"/>
      <c r="C37" s="58"/>
      <c r="D37" s="58"/>
      <c r="E37" s="58"/>
      <c r="F37" s="58"/>
      <c r="G37" s="58"/>
      <c r="H37" s="58"/>
      <c r="I37" s="58"/>
      <c r="J37" s="58"/>
      <c r="K37" s="58"/>
      <c r="L37" s="58"/>
      <c r="M37" s="58"/>
      <c r="N37" s="58"/>
      <c r="O37" s="58"/>
      <c r="P37" s="58"/>
      <c r="Q37" s="58"/>
      <c r="R37" s="58"/>
      <c r="S37" s="58"/>
      <c r="T37" s="58"/>
      <c r="U37" s="58"/>
      <c r="V37" s="59"/>
    </row>
    <row r="38" ht="4.5" customHeight="1">
      <c r="C38" s="60"/>
    </row>
    <row r="39" spans="2:21" s="37" customFormat="1" ht="12.75">
      <c r="B39" s="37" t="s">
        <v>37</v>
      </c>
      <c r="G39" s="38">
        <v>4.9</v>
      </c>
      <c r="I39" s="38">
        <v>0.9</v>
      </c>
      <c r="K39" s="61">
        <v>0</v>
      </c>
      <c r="M39" s="38">
        <v>-2.4</v>
      </c>
      <c r="O39" s="61">
        <v>0</v>
      </c>
      <c r="P39" s="5"/>
      <c r="Q39" s="61">
        <v>0</v>
      </c>
      <c r="S39" s="62">
        <f>Q39</f>
        <v>0</v>
      </c>
      <c r="T39" s="63"/>
      <c r="U39" s="62">
        <f>S39</f>
        <v>0</v>
      </c>
    </row>
    <row r="40" spans="2:21" ht="12.75">
      <c r="B40" t="s">
        <v>38</v>
      </c>
      <c r="G40" s="61">
        <v>0</v>
      </c>
      <c r="I40" s="61">
        <v>0</v>
      </c>
      <c r="K40" s="61">
        <v>0</v>
      </c>
      <c r="M40" s="61">
        <v>0</v>
      </c>
      <c r="O40" s="61">
        <v>0</v>
      </c>
      <c r="Q40" s="61">
        <v>0</v>
      </c>
      <c r="S40" s="62">
        <f>Q40</f>
        <v>0</v>
      </c>
      <c r="T40" s="63"/>
      <c r="U40" s="62">
        <f>S40</f>
        <v>0</v>
      </c>
    </row>
    <row r="41" spans="2:21" ht="12.75">
      <c r="B41" t="s">
        <v>39</v>
      </c>
      <c r="G41" s="61">
        <v>0</v>
      </c>
      <c r="I41" s="61">
        <v>0</v>
      </c>
      <c r="K41" s="61">
        <v>0</v>
      </c>
      <c r="M41" s="61">
        <v>0</v>
      </c>
      <c r="O41" s="61">
        <v>0</v>
      </c>
      <c r="Q41" s="61">
        <v>0</v>
      </c>
      <c r="S41" s="62">
        <f>Q41</f>
        <v>0</v>
      </c>
      <c r="T41" s="63"/>
      <c r="U41" s="62">
        <f>S41</f>
        <v>0</v>
      </c>
    </row>
    <row r="42" spans="2:21" s="37" customFormat="1" ht="13.5" customHeight="1" thickBot="1">
      <c r="B42" s="37" t="s">
        <v>40</v>
      </c>
      <c r="G42" s="38">
        <v>0.1</v>
      </c>
      <c r="I42" s="61">
        <v>0</v>
      </c>
      <c r="K42" s="61">
        <v>0</v>
      </c>
      <c r="M42" s="64">
        <v>-0.1</v>
      </c>
      <c r="N42" s="5"/>
      <c r="O42" s="61">
        <v>0</v>
      </c>
      <c r="P42" s="5"/>
      <c r="Q42" s="61">
        <v>0</v>
      </c>
      <c r="R42" s="5"/>
      <c r="S42" s="62">
        <f>Q42</f>
        <v>0</v>
      </c>
      <c r="T42" s="65"/>
      <c r="U42" s="62">
        <f>S42</f>
        <v>0</v>
      </c>
    </row>
    <row r="43" spans="2:24" ht="12.75">
      <c r="B43" t="s">
        <v>41</v>
      </c>
      <c r="G43" s="42">
        <f>G35-SUM(G39:G42)</f>
        <v>122.70000000000002</v>
      </c>
      <c r="I43" s="42">
        <f>I35-SUM(I39:I42)</f>
        <v>118.30000000000001</v>
      </c>
      <c r="K43" s="42">
        <f>K35-SUM(K39:K42)</f>
        <v>107.90000000000002</v>
      </c>
      <c r="L43" s="66"/>
      <c r="M43" s="42">
        <f>M35-SUM(M39:M42)</f>
        <v>118.60000000000004</v>
      </c>
      <c r="O43" s="42">
        <f>O35-SUM(O39:O42)</f>
        <v>112.39999999999998</v>
      </c>
      <c r="Q43" s="42">
        <f>Q35-SUM(Q39:Q42)</f>
        <v>111.80000000000001</v>
      </c>
      <c r="R43" s="66"/>
      <c r="S43" s="42">
        <f>S35-SUM(S39:S42)</f>
        <v>112.918</v>
      </c>
      <c r="U43" s="42">
        <f>U35-SUM(U39:U42)</f>
        <v>114.04718000000003</v>
      </c>
      <c r="X43" s="33">
        <f>(U43/M43)^(1/(U$5-$M$5))-1</f>
        <v>-0.009738338305643857</v>
      </c>
    </row>
    <row r="44" ht="4.5" customHeight="1"/>
    <row r="45" spans="2:24" s="37" customFormat="1" ht="12.75">
      <c r="B45" s="37" t="s">
        <v>42</v>
      </c>
      <c r="G45" s="39">
        <f>G46*G43</f>
        <v>42.945</v>
      </c>
      <c r="I45" s="39">
        <f>I46*I43</f>
        <v>41.405</v>
      </c>
      <c r="K45" s="39">
        <f>K46*K43</f>
        <v>37.76500000000001</v>
      </c>
      <c r="M45" s="39">
        <f>M46*M43</f>
        <v>41.51000000000001</v>
      </c>
      <c r="O45" s="39">
        <f>O46*O43</f>
        <v>39.33999999999999</v>
      </c>
      <c r="Q45" s="39">
        <f>Q46*Q43</f>
        <v>39.13</v>
      </c>
      <c r="S45" s="39">
        <f>S46*S43</f>
        <v>39.5213</v>
      </c>
      <c r="U45" s="39">
        <f>U46*U43</f>
        <v>39.91651300000001</v>
      </c>
      <c r="X45" s="5"/>
    </row>
    <row r="46" spans="3:24" s="19" customFormat="1" ht="12.75" customHeight="1" thickBot="1">
      <c r="C46" s="19" t="s">
        <v>43</v>
      </c>
      <c r="G46" s="35">
        <v>0.35</v>
      </c>
      <c r="I46" s="67">
        <f>G46</f>
        <v>0.35</v>
      </c>
      <c r="K46" s="67">
        <f>I46</f>
        <v>0.35</v>
      </c>
      <c r="M46" s="67">
        <f>K46</f>
        <v>0.35</v>
      </c>
      <c r="O46" s="67">
        <f>M46</f>
        <v>0.35</v>
      </c>
      <c r="Q46" s="67">
        <f>O46</f>
        <v>0.35</v>
      </c>
      <c r="S46" s="67">
        <f>Q46</f>
        <v>0.35</v>
      </c>
      <c r="U46" s="67">
        <f>S46</f>
        <v>0.35</v>
      </c>
      <c r="X46" s="37"/>
    </row>
    <row r="47" spans="7:24" ht="4.5" customHeight="1">
      <c r="G47" s="42"/>
      <c r="I47" s="42"/>
      <c r="K47" s="42"/>
      <c r="M47" s="42"/>
      <c r="O47" s="42"/>
      <c r="Q47" s="42"/>
      <c r="S47" s="42"/>
      <c r="U47" s="42"/>
      <c r="X47" s="36"/>
    </row>
    <row r="48" spans="2:24" s="10" customFormat="1" ht="12.75">
      <c r="B48" s="10" t="s">
        <v>44</v>
      </c>
      <c r="G48" s="32">
        <f>G43-G45</f>
        <v>79.75500000000002</v>
      </c>
      <c r="H48" s="32"/>
      <c r="I48" s="32">
        <f>I43-I45</f>
        <v>76.89500000000001</v>
      </c>
      <c r="K48" s="32">
        <f>K43-K45</f>
        <v>70.13500000000002</v>
      </c>
      <c r="M48" s="32">
        <f>M43-M45</f>
        <v>77.09000000000003</v>
      </c>
      <c r="O48" s="32">
        <f>O43-O45</f>
        <v>73.05999999999999</v>
      </c>
      <c r="Q48" s="32">
        <f>Q43-Q45</f>
        <v>72.67000000000002</v>
      </c>
      <c r="S48" s="32">
        <f>S43-S45</f>
        <v>73.39670000000001</v>
      </c>
      <c r="U48" s="32">
        <f>U43-U45</f>
        <v>74.13066700000002</v>
      </c>
      <c r="X48" s="33">
        <f>(U48/M48)^(1/(U$5-$M$5))-1</f>
        <v>-0.009738338305643857</v>
      </c>
    </row>
    <row r="49" spans="3:21" s="19" customFormat="1" ht="12.75" customHeight="1">
      <c r="C49" s="19" t="s">
        <v>28</v>
      </c>
      <c r="G49" s="40">
        <f>G48/G$7</f>
        <v>0.2150889967637541</v>
      </c>
      <c r="I49" s="40">
        <f>I48/I$7</f>
        <v>0.20193014705882356</v>
      </c>
      <c r="K49" s="40">
        <f>K48/K$7</f>
        <v>0.174248447204969</v>
      </c>
      <c r="M49" s="40">
        <f>M48/M$7</f>
        <v>0.16828203449028603</v>
      </c>
      <c r="O49" s="40">
        <f>O48/O$7</f>
        <v>0.1561111111111111</v>
      </c>
      <c r="Q49" s="40">
        <f>Q48/Q$7</f>
        <v>0.1544527098831031</v>
      </c>
      <c r="S49" s="40">
        <f>S48/S$7</f>
        <v>0.1544527098831031</v>
      </c>
      <c r="U49" s="40">
        <f>U48/U$7</f>
        <v>0.1544527098831031</v>
      </c>
    </row>
    <row r="50" ht="4.5" customHeight="1">
      <c r="X50" s="36"/>
    </row>
    <row r="51" spans="1:24" s="10" customFormat="1" ht="12.75">
      <c r="A51" s="68"/>
      <c r="B51" s="68" t="s">
        <v>45</v>
      </c>
      <c r="C51" s="68"/>
      <c r="D51" s="68"/>
      <c r="E51" s="68"/>
      <c r="F51" s="68"/>
      <c r="G51" s="69">
        <f>G48/G53</f>
        <v>2.2745550992470918</v>
      </c>
      <c r="H51" s="68"/>
      <c r="I51" s="69">
        <f>I48/I53</f>
        <v>2.269628099173554</v>
      </c>
      <c r="J51" s="68"/>
      <c r="K51" s="69">
        <f>K48/K53</f>
        <v>1.971191680719506</v>
      </c>
      <c r="L51" s="68"/>
      <c r="M51" s="69">
        <f>M48/M53</f>
        <v>2.136640798226165</v>
      </c>
      <c r="N51" s="68"/>
      <c r="O51" s="69">
        <f>O48/O53</f>
        <v>1.997266265718972</v>
      </c>
      <c r="P51" s="68"/>
      <c r="Q51" s="69">
        <f>Q48/Q53</f>
        <v>1.9866047020229638</v>
      </c>
      <c r="R51" s="68"/>
      <c r="S51" s="69">
        <f>S48/S53</f>
        <v>2.0064707490431934</v>
      </c>
      <c r="T51" s="68"/>
      <c r="U51" s="69">
        <f>U48/U53</f>
        <v>2.0265354565336255</v>
      </c>
      <c r="V51" s="70"/>
      <c r="X51" s="33">
        <f>(U51/M51)^(1/(U$5-$M$5))-1</f>
        <v>-0.01313971321355989</v>
      </c>
    </row>
    <row r="52" ht="4.5" customHeight="1"/>
    <row r="53" spans="2:21" ht="12.75">
      <c r="B53" t="s">
        <v>46</v>
      </c>
      <c r="G53" s="71">
        <v>35.064</v>
      </c>
      <c r="H53" s="71"/>
      <c r="I53" s="71">
        <v>33.88</v>
      </c>
      <c r="J53" s="71"/>
      <c r="K53" s="71">
        <v>35.58</v>
      </c>
      <c r="L53" s="71"/>
      <c r="M53" s="71">
        <v>36.08</v>
      </c>
      <c r="N53" s="71"/>
      <c r="O53" s="71">
        <v>36.58</v>
      </c>
      <c r="P53" s="71"/>
      <c r="Q53" s="71">
        <v>36.58</v>
      </c>
      <c r="R53" s="72"/>
      <c r="S53" s="73">
        <f>Q53</f>
        <v>36.58</v>
      </c>
      <c r="T53" s="73"/>
      <c r="U53" s="73">
        <f>S53</f>
        <v>36.58</v>
      </c>
    </row>
    <row r="55" ht="12.75">
      <c r="B55" s="10" t="s">
        <v>47</v>
      </c>
    </row>
    <row r="56" spans="3:21" ht="12.75">
      <c r="C56" t="s">
        <v>32</v>
      </c>
      <c r="G56" s="74">
        <f>G24*(1-G46)</f>
        <v>16.705000000000002</v>
      </c>
      <c r="I56" s="74">
        <f>I24*(1-I46)</f>
        <v>11.83</v>
      </c>
      <c r="K56" s="74">
        <f>K24*(1-K46)</f>
        <v>12.090000000000002</v>
      </c>
      <c r="M56" s="74">
        <f>M24*(1-M46)</f>
        <v>12.740000000000002</v>
      </c>
      <c r="O56" s="74">
        <f>O24*(1-O46)</f>
        <v>12.934999999999999</v>
      </c>
      <c r="Q56" s="74">
        <f>Q24*(1-Q46)</f>
        <v>13</v>
      </c>
      <c r="S56" s="74">
        <f>S24*(1-S46)</f>
        <v>13</v>
      </c>
      <c r="U56" s="74">
        <f>U24*(1-U46)</f>
        <v>13</v>
      </c>
    </row>
    <row r="57" spans="3:21" ht="12.75">
      <c r="C57" t="s">
        <v>34</v>
      </c>
      <c r="G57" s="39">
        <f>G29*(1-G46)</f>
        <v>10.725</v>
      </c>
      <c r="I57" s="39">
        <f>I29*(1-I46)</f>
        <v>8.71</v>
      </c>
      <c r="K57" s="39">
        <f>K29*(1-K46)</f>
        <v>7.345000000000001</v>
      </c>
      <c r="M57" s="39">
        <f>M29*(1-M46)</f>
        <v>7.0200000000000005</v>
      </c>
      <c r="O57" s="39">
        <f>O29*(1-O46)</f>
        <v>6.89</v>
      </c>
      <c r="Q57" s="39">
        <f>Q29*(1-Q46)</f>
        <v>6.955</v>
      </c>
      <c r="S57" s="39">
        <f>S29*(1-S46)</f>
        <v>7.02455</v>
      </c>
      <c r="U57" s="39">
        <f>U29*(1-U46)</f>
        <v>7.094795499999999</v>
      </c>
    </row>
    <row r="58" spans="3:21" ht="13.5" customHeight="1" thickBot="1">
      <c r="C58" t="s">
        <v>48</v>
      </c>
      <c r="G58" s="38">
        <v>8.2</v>
      </c>
      <c r="I58" s="38">
        <v>3.4</v>
      </c>
      <c r="K58" s="38">
        <v>0.7</v>
      </c>
      <c r="M58" s="64">
        <v>0.1</v>
      </c>
      <c r="N58" s="63"/>
      <c r="O58" s="61">
        <v>0</v>
      </c>
      <c r="P58" s="63"/>
      <c r="Q58" s="61">
        <v>0</v>
      </c>
      <c r="R58" s="63"/>
      <c r="S58" s="62">
        <f>Q58</f>
        <v>0</v>
      </c>
      <c r="T58" s="63"/>
      <c r="U58" s="62">
        <f>S58</f>
        <v>0</v>
      </c>
    </row>
    <row r="59" spans="7:21" ht="4.5" customHeight="1">
      <c r="G59" s="42"/>
      <c r="I59" s="42"/>
      <c r="K59" s="42"/>
      <c r="M59" s="42"/>
      <c r="O59" s="75"/>
      <c r="Q59" s="75"/>
      <c r="S59" s="75"/>
      <c r="U59" s="75"/>
    </row>
    <row r="60" spans="2:24" s="10" customFormat="1" ht="12.75">
      <c r="B60" s="10" t="s">
        <v>49</v>
      </c>
      <c r="G60" s="32">
        <f>G48-SUM(G56:G58)</f>
        <v>44.12500000000003</v>
      </c>
      <c r="I60" s="32">
        <f>I48-SUM(I56:I58)</f>
        <v>52.95500000000001</v>
      </c>
      <c r="K60" s="32">
        <f>K48-SUM(K56:K58)</f>
        <v>50.000000000000014</v>
      </c>
      <c r="M60" s="32">
        <f>M48-SUM(M56:M58)</f>
        <v>57.23000000000003</v>
      </c>
      <c r="O60" s="32">
        <f>O48-SUM(O56:O58)</f>
        <v>53.234999999999985</v>
      </c>
      <c r="Q60" s="32">
        <f>Q48-SUM(Q56:Q58)</f>
        <v>52.71500000000002</v>
      </c>
      <c r="S60" s="32">
        <f>S48-SUM(S56:S58)</f>
        <v>53.37215000000001</v>
      </c>
      <c r="U60" s="32">
        <f>U48-SUM(U56:U58)</f>
        <v>54.03587150000001</v>
      </c>
      <c r="X60" s="33">
        <f>(U60/M60)^(1/(U$5-$M$5))-1</f>
        <v>-0.014254953002548976</v>
      </c>
    </row>
    <row r="61" spans="3:21" s="19" customFormat="1" ht="12.75" customHeight="1">
      <c r="C61" s="19" t="s">
        <v>28</v>
      </c>
      <c r="G61" s="40">
        <f>G60/G$7</f>
        <v>0.11899946062567429</v>
      </c>
      <c r="I61" s="40">
        <f>I60/I$7</f>
        <v>0.13906250000000003</v>
      </c>
      <c r="K61" s="40">
        <f>K60/K$7</f>
        <v>0.12422360248447209</v>
      </c>
      <c r="M61" s="40">
        <f>M60/M$7</f>
        <v>0.1249290547915303</v>
      </c>
      <c r="O61" s="40">
        <f>O60/O$7</f>
        <v>0.11374999999999996</v>
      </c>
      <c r="Q61" s="40">
        <f>Q60/Q$7</f>
        <v>0.11204038257173224</v>
      </c>
      <c r="S61" s="40">
        <f>S60/S$7</f>
        <v>0.11231394871686959</v>
      </c>
      <c r="U61" s="40">
        <f>U60/U$7</f>
        <v>0.11258480628631252</v>
      </c>
    </row>
    <row r="62" ht="4.5" customHeight="1">
      <c r="X62" s="36"/>
    </row>
    <row r="63" spans="1:24" ht="12.75">
      <c r="A63" s="68"/>
      <c r="B63" s="68" t="s">
        <v>50</v>
      </c>
      <c r="C63" s="68"/>
      <c r="D63" s="68"/>
      <c r="E63" s="68"/>
      <c r="F63" s="68"/>
      <c r="G63" s="69">
        <f>G60/G53</f>
        <v>1.2584131873146256</v>
      </c>
      <c r="H63" s="68"/>
      <c r="I63" s="69">
        <f>I60/I53</f>
        <v>1.5630165289256202</v>
      </c>
      <c r="J63" s="68"/>
      <c r="K63" s="69">
        <f>K60/K53</f>
        <v>1.4052838673412034</v>
      </c>
      <c r="L63" s="68"/>
      <c r="M63" s="69">
        <f>M60/M53</f>
        <v>1.5861973392461206</v>
      </c>
      <c r="N63" s="68"/>
      <c r="O63" s="69">
        <f>O60/O53</f>
        <v>1.4553034445051938</v>
      </c>
      <c r="P63" s="68"/>
      <c r="Q63" s="69">
        <f>Q60/Q53</f>
        <v>1.4410880262438497</v>
      </c>
      <c r="R63" s="68"/>
      <c r="S63" s="69">
        <f>S60/S53</f>
        <v>1.4590527610716242</v>
      </c>
      <c r="T63" s="68"/>
      <c r="U63" s="69">
        <f>U60/U53</f>
        <v>1.4771971432476767</v>
      </c>
      <c r="V63" s="70"/>
      <c r="X63" s="33">
        <f>(U63/M63)^(1/(U$5-$M$5))-1</f>
        <v>-0.017640814132144578</v>
      </c>
    </row>
    <row r="65" spans="2:21" s="76" customFormat="1" ht="12.75" customHeight="1">
      <c r="B65" s="76" t="s">
        <v>51</v>
      </c>
      <c r="G65" s="77">
        <v>26</v>
      </c>
      <c r="I65" s="77">
        <v>12.5</v>
      </c>
      <c r="K65" s="77">
        <v>18</v>
      </c>
      <c r="M65" s="77">
        <v>16</v>
      </c>
      <c r="O65" s="77">
        <v>14.1</v>
      </c>
      <c r="Q65" s="74">
        <f>Q66*Q7</f>
        <v>14.175320512820512</v>
      </c>
      <c r="S65" s="74">
        <f>S66*S7</f>
        <v>14.317073717948718</v>
      </c>
      <c r="U65" s="74">
        <f>U66*U7</f>
        <v>14.460244455128205</v>
      </c>
    </row>
    <row r="66" spans="1:23" s="19" customFormat="1" ht="12.75" customHeight="1">
      <c r="A66" s="49"/>
      <c r="B66" s="49"/>
      <c r="C66" s="49" t="s">
        <v>26</v>
      </c>
      <c r="D66" s="49"/>
      <c r="E66" s="49"/>
      <c r="F66" s="49"/>
      <c r="G66" s="50">
        <f>G65/G$7</f>
        <v>0.07011866235167206</v>
      </c>
      <c r="H66" s="49"/>
      <c r="I66" s="50">
        <f>I65/I$7</f>
        <v>0.03282563025210084</v>
      </c>
      <c r="J66" s="49"/>
      <c r="K66" s="50">
        <f>K65/K$7</f>
        <v>0.04472049689440994</v>
      </c>
      <c r="L66" s="49"/>
      <c r="M66" s="50">
        <f>M65/M$7</f>
        <v>0.034926871862038855</v>
      </c>
      <c r="N66" s="49"/>
      <c r="O66" s="50">
        <f>O65/O$7</f>
        <v>0.03012820512820513</v>
      </c>
      <c r="P66" s="49"/>
      <c r="Q66" s="50">
        <f>O66</f>
        <v>0.03012820512820513</v>
      </c>
      <c r="R66" s="49"/>
      <c r="S66" s="50">
        <f>Q66</f>
        <v>0.03012820512820513</v>
      </c>
      <c r="T66" s="49"/>
      <c r="U66" s="50">
        <f>S66</f>
        <v>0.03012820512820513</v>
      </c>
      <c r="V66" s="49"/>
      <c r="W66" s="4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MacGregor</dc:creator>
  <cp:keywords/>
  <dc:description/>
  <cp:lastModifiedBy>Ryan MacGregor</cp:lastModifiedBy>
  <dcterms:created xsi:type="dcterms:W3CDTF">2009-06-11T16:36:02Z</dcterms:created>
  <dcterms:modified xsi:type="dcterms:W3CDTF">2009-06-16T17:04:59Z</dcterms:modified>
  <cp:category/>
  <cp:version/>
  <cp:contentType/>
  <cp:contentStatus/>
</cp:coreProperties>
</file>