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95" windowHeight="13035" activeTab="3"/>
  </bookViews>
  <sheets>
    <sheet name="Assumptions" sheetId="1" r:id="rId1"/>
    <sheet name="PPR" sheetId="2" r:id="rId2"/>
    <sheet name="S&amp;U" sheetId="3" r:id="rId3"/>
    <sheet name="GAAP" sheetId="4" r:id="rId4"/>
    <sheet name="PF BS" sheetId="5" r:id="rId5"/>
    <sheet name="Buyer P&amp;L" sheetId="6" r:id="rId6"/>
    <sheet name="Target P&amp;L" sheetId="7" r:id="rId7"/>
  </sheets>
  <externalReferences>
    <externalReference r:id="rId10"/>
  </externalReferences>
  <definedNames>
    <definedName name="acq">'Assumptions'!$H$8</definedName>
    <definedName name="acq_fye">'Assumptions'!$H$32</definedName>
    <definedName name="acq_price">'Assumptions'!$J$11</definedName>
    <definedName name="assume">'Assumptions'!$T$11</definedName>
    <definedName name="fees">'Assumptions'!$T$24</definedName>
    <definedName name="libor">'[1]LBO'!$AF$34</definedName>
    <definedName name="min_cash">'Assumptions'!$T$21</definedName>
    <definedName name="pct_cash">'Assumptions'!$T$8</definedName>
    <definedName name="sec_338">'Assumptions'!$T$13</definedName>
    <definedName name="tax_rate">'Assumptions'!$T$39</definedName>
    <definedName name="tgt">'Assumptions'!$L$8</definedName>
    <definedName name="tgt_price">'Assumptions'!$N$11</definedName>
    <definedName name="type">'Assumptions'!$T$12</definedName>
    <definedName name="year">'Assumptions'!$T$40</definedName>
  </definedNames>
  <calcPr fullCalcOnLoad="1" iterate="1" iterateCount="100" iterateDelta="0.001"/>
</workbook>
</file>

<file path=xl/comments1.xml><?xml version="1.0" encoding="utf-8"?>
<comments xmlns="http://schemas.openxmlformats.org/spreadsheetml/2006/main">
  <authors>
    <author>Ryan MacGregor</author>
  </authors>
  <commentList>
    <comment ref="T7" authorId="0">
      <text>
        <r>
          <rPr>
            <sz val="8"/>
            <color indexed="8"/>
            <rFont val="Tahoma"/>
            <family val="0"/>
          </rPr>
          <t>This integer value will correspond to a offer price per TargetCo share once we determine what range of offer prices we want to consider for this deal.</t>
        </r>
      </text>
    </comment>
    <comment ref="T8" authorId="0">
      <text>
        <r>
          <rPr>
            <sz val="8"/>
            <color indexed="8"/>
            <rFont val="Tahoma"/>
            <family val="0"/>
          </rPr>
          <t>Consideration paid to TargetCo's shareholders may comprise cash and/or BuyerCo stock.</t>
        </r>
      </text>
    </comment>
    <comment ref="T17" authorId="0">
      <text>
        <r>
          <rPr>
            <sz val="8"/>
            <color indexed="8"/>
            <rFont val="Tahoma"/>
            <family val="0"/>
          </rPr>
          <t>The period over which debt used to acquire TargetCo must be repaid.</t>
        </r>
      </text>
    </comment>
    <comment ref="T20" authorId="0">
      <text>
        <r>
          <rPr>
            <sz val="8"/>
            <color indexed="8"/>
            <rFont val="Tahoma"/>
            <family val="0"/>
          </rPr>
          <t>The rate at which interest would accrue on any cash balance.</t>
        </r>
      </text>
    </comment>
    <comment ref="T21" authorId="0">
      <text>
        <r>
          <rPr>
            <sz val="8"/>
            <color indexed="8"/>
            <rFont val="Tahoma"/>
            <family val="0"/>
          </rPr>
          <t>This is the minimum amount of cash that the combined company is expected to need to fund its operations.</t>
        </r>
      </text>
    </comment>
    <comment ref="T39" authorId="0">
      <text>
        <r>
          <rPr>
            <sz val="8"/>
            <color indexed="8"/>
            <rFont val="Tahoma"/>
            <family val="0"/>
          </rPr>
          <t>Always use the acquirer's tax rate.  We will plug in this number after building the acquirer's P&amp;L.</t>
        </r>
      </text>
    </comment>
  </commentList>
</comments>
</file>

<file path=xl/comments3.xml><?xml version="1.0" encoding="utf-8"?>
<comments xmlns="http://schemas.openxmlformats.org/spreadsheetml/2006/main">
  <authors>
    <author>Ryan MacGregor</author>
  </authors>
  <commentList>
    <comment ref="F30" authorId="0">
      <text>
        <r>
          <rPr>
            <sz val="8"/>
            <color indexed="8"/>
            <rFont val="Tahoma"/>
            <family val="0"/>
          </rPr>
          <t>By linking directly to the target's options consideration, we assumed that the target's options are rolled over with acquirer options.  If the FV of the replacement options exceeds the FV of the Target's options assumed, the difference should be immediately recognized as compensation expense.</t>
        </r>
      </text>
    </comment>
  </commentList>
</comments>
</file>

<file path=xl/comments4.xml><?xml version="1.0" encoding="utf-8"?>
<comments xmlns="http://schemas.openxmlformats.org/spreadsheetml/2006/main">
  <authors>
    <author>Ryan MacGregor</author>
  </authors>
  <commentList>
    <comment ref="J128" authorId="0">
      <text>
        <r>
          <rPr>
            <sz val="8"/>
            <color indexed="8"/>
            <rFont val="Tahoma"/>
            <family val="0"/>
          </rPr>
          <t>Dividend yield equals a company's most recent full-year dividend payout divided by the average share price over that period.</t>
        </r>
      </text>
    </comment>
    <comment ref="J129" authorId="0">
      <text>
        <r>
          <rPr>
            <sz val="8"/>
            <color indexed="8"/>
            <rFont val="Tahoma"/>
            <family val="0"/>
          </rPr>
          <t>4.0% is a commonly used value for the risk-free rate.</t>
        </r>
      </text>
    </comment>
    <comment ref="J14" authorId="0">
      <text>
        <r>
          <rPr>
            <sz val="8"/>
            <color indexed="8"/>
            <rFont val="Tahoma"/>
            <family val="0"/>
          </rPr>
          <t>In millions.</t>
        </r>
      </text>
    </comment>
    <comment ref="J21" authorId="0">
      <text>
        <r>
          <rPr>
            <sz val="8"/>
            <color indexed="8"/>
            <rFont val="Tahoma"/>
            <family val="0"/>
          </rPr>
          <t>In millions.</t>
        </r>
      </text>
    </comment>
  </commentList>
</comments>
</file>

<file path=xl/comments6.xml><?xml version="1.0" encoding="utf-8"?>
<comments xmlns="http://schemas.openxmlformats.org/spreadsheetml/2006/main">
  <authors>
    <author>Ryan MacGregor</author>
  </authors>
  <commentList>
    <comment ref="M5" authorId="0">
      <text>
        <r>
          <rPr>
            <sz val="8"/>
            <color indexed="8"/>
            <rFont val="Tahoma"/>
            <family val="0"/>
          </rPr>
          <t>Source: Deutsche research dated 4/24/2008.</t>
        </r>
      </text>
    </comment>
    <comment ref="O5" authorId="0">
      <text>
        <r>
          <rPr>
            <sz val="8"/>
            <color indexed="8"/>
            <rFont val="Tahoma"/>
            <family val="0"/>
          </rPr>
          <t>Source: Deutsche research dated 4/24/2008.</t>
        </r>
      </text>
    </comment>
    <comment ref="Q5" authorId="0">
      <text>
        <r>
          <rPr>
            <sz val="8"/>
            <color indexed="8"/>
            <rFont val="Tahoma"/>
            <family val="0"/>
          </rPr>
          <t>Source: Deutsche research dated 4/24/2008.</t>
        </r>
      </text>
    </comment>
  </commentList>
</comments>
</file>

<file path=xl/sharedStrings.xml><?xml version="1.0" encoding="utf-8"?>
<sst xmlns="http://schemas.openxmlformats.org/spreadsheetml/2006/main" count="402" uniqueCount="249">
  <si>
    <t>Transaction Assumptions</t>
  </si>
  <si>
    <t>($ in millions, except per share data)</t>
  </si>
  <si>
    <t>Summary Financial Data</t>
  </si>
  <si>
    <t>Acquirer</t>
  </si>
  <si>
    <t>Target</t>
  </si>
  <si>
    <t>Code Name</t>
  </si>
  <si>
    <t>BuyerCo</t>
  </si>
  <si>
    <t>TargetCo</t>
  </si>
  <si>
    <t>Ticker</t>
  </si>
  <si>
    <t>BBB</t>
  </si>
  <si>
    <t>TTT</t>
  </si>
  <si>
    <t>Current Price</t>
  </si>
  <si>
    <t>52-Week High</t>
  </si>
  <si>
    <t>52-Week Low</t>
  </si>
  <si>
    <t>Basic Shares Outstanding</t>
  </si>
  <si>
    <t>Treasury Method Shares</t>
  </si>
  <si>
    <t>In-the-Money Convertible Shares</t>
  </si>
  <si>
    <t>Fully Diluted Shares Outstanding</t>
  </si>
  <si>
    <t>Equity Value</t>
  </si>
  <si>
    <t>Net Debt</t>
  </si>
  <si>
    <t>Enterprise Value</t>
  </si>
  <si>
    <t>Convert 1</t>
  </si>
  <si>
    <t>Convert 2</t>
  </si>
  <si>
    <t>Face Value</t>
  </si>
  <si>
    <t>Conversion Price</t>
  </si>
  <si>
    <t>NA</t>
  </si>
  <si>
    <t>Convertible Shares</t>
  </si>
  <si>
    <t>Interest Rate</t>
  </si>
  <si>
    <t>In the Money?</t>
  </si>
  <si>
    <t>LTM Date</t>
  </si>
  <si>
    <t>Last Fiscal Year End</t>
  </si>
  <si>
    <t>Research Report Analyst</t>
  </si>
  <si>
    <t>Deutsche Bank</t>
  </si>
  <si>
    <t>Goldman Sachs</t>
  </si>
  <si>
    <t>Research Report Date</t>
  </si>
  <si>
    <t>Options Data</t>
  </si>
  <si>
    <t>Number of</t>
  </si>
  <si>
    <t>Average</t>
  </si>
  <si>
    <t>Cumulative</t>
  </si>
  <si>
    <t>Treasury</t>
  </si>
  <si>
    <t>Options (m)</t>
  </si>
  <si>
    <t>Strike</t>
  </si>
  <si>
    <t>Strike ($m)</t>
  </si>
  <si>
    <t>Avg. Strike</t>
  </si>
  <si>
    <t>Shares</t>
  </si>
  <si>
    <t>Tranche 1</t>
  </si>
  <si>
    <t>Tranche 2</t>
  </si>
  <si>
    <t>Tranche 3</t>
  </si>
  <si>
    <t>Tranche 4</t>
  </si>
  <si>
    <t>Tranche 5</t>
  </si>
  <si>
    <t>Tranche 6</t>
  </si>
  <si>
    <t>Tranche 7</t>
  </si>
  <si>
    <t>Tranche 8</t>
  </si>
  <si>
    <t>Tranche 9</t>
  </si>
  <si>
    <t>Tranche 10</t>
  </si>
  <si>
    <t>Total</t>
  </si>
  <si>
    <t>M&amp;A Assumptions</t>
  </si>
  <si>
    <t>Consideration</t>
  </si>
  <si>
    <t>Transaction Price</t>
  </si>
  <si>
    <t>Percent Cash Consideration</t>
  </si>
  <si>
    <t>Deal Structure</t>
  </si>
  <si>
    <t>Target LT Debt: 0=refinanced, 1=assumed</t>
  </si>
  <si>
    <t>Acquisition Type: 0=stock, 1=asset</t>
  </si>
  <si>
    <t>Section 338 Election?</t>
  </si>
  <si>
    <t>Acquisition Debt</t>
  </si>
  <si>
    <t>Interest Rate on Debt</t>
  </si>
  <si>
    <t>Amortization Period for New Debt (yrs)</t>
  </si>
  <si>
    <t>Cash</t>
  </si>
  <si>
    <t>Interest Rate on Cash</t>
  </si>
  <si>
    <t>Minimum Cash Balance</t>
  </si>
  <si>
    <t>Fees &amp; Expenses</t>
  </si>
  <si>
    <t>Advisory Fees</t>
  </si>
  <si>
    <t>Financing Fees</t>
  </si>
  <si>
    <t>Synergies</t>
  </si>
  <si>
    <t>Include Synergies?</t>
  </si>
  <si>
    <t>Cost Synergies</t>
  </si>
  <si>
    <t>SG&amp;A Synergies</t>
  </si>
  <si>
    <t>Purchase Price Allocation</t>
  </si>
  <si>
    <t xml:space="preserve">% of Excess PP Allocated to Intangibles </t>
  </si>
  <si>
    <t>Amortization Period (yrs)</t>
  </si>
  <si>
    <t>Step-Up of Target's Fixed Assets</t>
  </si>
  <si>
    <t>Depreciation Period (yrs)</t>
  </si>
  <si>
    <t>Other</t>
  </si>
  <si>
    <t>Tax Rate</t>
  </si>
  <si>
    <t>Calendar Year or Fiscal Year?</t>
  </si>
  <si>
    <t>FY</t>
  </si>
  <si>
    <t>Cash or GAAP?</t>
  </si>
  <si>
    <t>Total Revenue</t>
  </si>
  <si>
    <t>% Growth</t>
  </si>
  <si>
    <t>COGS</t>
  </si>
  <si>
    <t>% of Sales</t>
  </si>
  <si>
    <t>Gross Profit</t>
  </si>
  <si>
    <t>% Margin</t>
  </si>
  <si>
    <t>SG&amp;A</t>
  </si>
  <si>
    <t>EBITDA</t>
  </si>
  <si>
    <t>Depreciation</t>
  </si>
  <si>
    <t>Amortization</t>
  </si>
  <si>
    <t>Total D&amp;A</t>
  </si>
  <si>
    <t>Stock-Based Comp</t>
  </si>
  <si>
    <t>EBIT</t>
  </si>
  <si>
    <t>EBITA</t>
  </si>
  <si>
    <t>Interest (Income) / Expense</t>
  </si>
  <si>
    <t>Equity (Income)</t>
  </si>
  <si>
    <t>Minority Interest</t>
  </si>
  <si>
    <t>Other (Income) / Expense</t>
  </si>
  <si>
    <t>Income Before Taxes</t>
  </si>
  <si>
    <t>Provision for Tax</t>
  </si>
  <si>
    <t>% Tax Rate</t>
  </si>
  <si>
    <t>Cash Net Income</t>
  </si>
  <si>
    <t>Cash Diluted EPS</t>
  </si>
  <si>
    <t>Diluted Shares Out</t>
  </si>
  <si>
    <t>Cash to GAAP Reconciliation:</t>
  </si>
  <si>
    <t>One-Time Charges</t>
  </si>
  <si>
    <t>GAAP Net Income</t>
  </si>
  <si>
    <t>GAAP Diluted EPS</t>
  </si>
  <si>
    <t>Capex</t>
  </si>
  <si>
    <t>CAGR</t>
  </si>
  <si>
    <t>Pro Forma Balance Sheet</t>
  </si>
  <si>
    <t>Assets</t>
  </si>
  <si>
    <t>Current Assets</t>
  </si>
  <si>
    <t>Cash and Equivalents</t>
  </si>
  <si>
    <t>Accounts Receivable</t>
  </si>
  <si>
    <t>Inventory</t>
  </si>
  <si>
    <t>Deferred Income Taxes</t>
  </si>
  <si>
    <t>Other Current Assets</t>
  </si>
  <si>
    <t>Total Current Assets</t>
  </si>
  <si>
    <t>Net PP&amp;E</t>
  </si>
  <si>
    <t>Goodwill</t>
  </si>
  <si>
    <t>Intangibles</t>
  </si>
  <si>
    <t>Investments/Restricted Cash</t>
  </si>
  <si>
    <t>Unearned Compensation</t>
  </si>
  <si>
    <t>Deferred Financing Fees</t>
  </si>
  <si>
    <t>Other Assets</t>
  </si>
  <si>
    <t>Total Assets</t>
  </si>
  <si>
    <t>Liabilities and Stockholders' Equity</t>
  </si>
  <si>
    <t>Current Liabilities</t>
  </si>
  <si>
    <t>Accounts Payable</t>
  </si>
  <si>
    <t>Accrued Expenses</t>
  </si>
  <si>
    <t>Income Taxes Payable</t>
  </si>
  <si>
    <t>Deferred Revenue</t>
  </si>
  <si>
    <t>Other Current Liabilities</t>
  </si>
  <si>
    <t>Current Portion of Long-Term Debt</t>
  </si>
  <si>
    <t>Total Current Liabilities</t>
  </si>
  <si>
    <t>Revolver</t>
  </si>
  <si>
    <t>Non-Convertible Debt</t>
  </si>
  <si>
    <t>Convertible Debt</t>
  </si>
  <si>
    <t>Other Long-Term Liabilities</t>
  </si>
  <si>
    <t>Total Liabilities</t>
  </si>
  <si>
    <t>Preferred Stock, par value</t>
  </si>
  <si>
    <t>Common Stock, par value</t>
  </si>
  <si>
    <t>APIC</t>
  </si>
  <si>
    <t>Treasury Stock</t>
  </si>
  <si>
    <t>Accum. &amp; Other Comp. Income (Loss)</t>
  </si>
  <si>
    <t>Retained Earnings</t>
  </si>
  <si>
    <t>Total Stockholders' Equity</t>
  </si>
  <si>
    <t>Total Liabilities and Stockholders' Equity</t>
  </si>
  <si>
    <t>Check</t>
  </si>
  <si>
    <t>Purchase Price Ratio Analysis</t>
  </si>
  <si>
    <t>Common Stock</t>
  </si>
  <si>
    <t>Stock Options</t>
  </si>
  <si>
    <t>ITM Convertible Securities</t>
  </si>
  <si>
    <t>Total Diluted Equity Value</t>
  </si>
  <si>
    <t>Total Enterprise Value</t>
  </si>
  <si>
    <t>Premiums Analysis:</t>
  </si>
  <si>
    <t>7-Day Trading Average</t>
  </si>
  <si>
    <t>30-Day Trading Average</t>
  </si>
  <si>
    <t>60-Day Trading Average</t>
  </si>
  <si>
    <t>90-Day Trading Average</t>
  </si>
  <si>
    <t>Multiples Analysis:</t>
  </si>
  <si>
    <t>Purchase Price Allocation and Accounting Adjustments</t>
  </si>
  <si>
    <t>Current</t>
  </si>
  <si>
    <t>Price</t>
  </si>
  <si>
    <t>Options Calculations</t>
  </si>
  <si>
    <t>Unvested Black Scholes Value</t>
  </si>
  <si>
    <t>Stock Price</t>
  </si>
  <si>
    <t>Strike Price</t>
  </si>
  <si>
    <t>Expiration (yrs)</t>
  </si>
  <si>
    <t>Volatility</t>
  </si>
  <si>
    <t>Dividend Yield</t>
  </si>
  <si>
    <t>Risk-Free Rate</t>
  </si>
  <si>
    <t>d1</t>
  </si>
  <si>
    <t>d2</t>
  </si>
  <si>
    <t>N(d1)</t>
  </si>
  <si>
    <t>N(d2)</t>
  </si>
  <si>
    <t>Black Scholes Value Per Option</t>
  </si>
  <si>
    <t>Vested Black Scholes Value</t>
  </si>
  <si>
    <t>Fair Value of Options Issued by Acquirer</t>
  </si>
  <si>
    <t>Unvested Options</t>
  </si>
  <si>
    <t>Weighted Average Strike</t>
  </si>
  <si>
    <t>Weighted Average Remaining Term (yrs)</t>
  </si>
  <si>
    <t>Options Outstanding</t>
  </si>
  <si>
    <t>Fair Value of Unvested Options</t>
  </si>
  <si>
    <t>Vested Options</t>
  </si>
  <si>
    <t>Fair Value of Vested Options</t>
  </si>
  <si>
    <t>Intrinsic Value at Transaction Price of:</t>
  </si>
  <si>
    <t>Options</t>
  </si>
  <si>
    <t>Ex. Price</t>
  </si>
  <si>
    <t>Vesting Period</t>
  </si>
  <si>
    <t>Life</t>
  </si>
  <si>
    <t>Remaining</t>
  </si>
  <si>
    <t>Unearned Compensation Entry</t>
  </si>
  <si>
    <t>Vest. Per.</t>
  </si>
  <si>
    <t>Annual Compensation Expense</t>
  </si>
  <si>
    <t>Sources &amp; Uses of Funds</t>
  </si>
  <si>
    <t>Sources &amp; Uses</t>
  </si>
  <si>
    <t>Uses</t>
  </si>
  <si>
    <t>Total Equity Consideration</t>
  </si>
  <si>
    <t>Total Levered Consideration</t>
  </si>
  <si>
    <t>Acquirer Refinanced Debt</t>
  </si>
  <si>
    <t>Total Uses</t>
  </si>
  <si>
    <t>Sources</t>
  </si>
  <si>
    <t>Cash Consideration</t>
  </si>
  <si>
    <t>Total Sources</t>
  </si>
  <si>
    <t>Cash Schedule</t>
  </si>
  <si>
    <t>Cash Available</t>
  </si>
  <si>
    <t>Total Cash Available</t>
  </si>
  <si>
    <t>Cash Needed</t>
  </si>
  <si>
    <t>Cash Needed Before Revolver</t>
  </si>
  <si>
    <t>Total Cash Needed</t>
  </si>
  <si>
    <t>Purchase Price Calculation</t>
  </si>
  <si>
    <t>Common Equity Consideration</t>
  </si>
  <si>
    <t>Fair Value of Preferred Stock</t>
  </si>
  <si>
    <t>Total Purchase Price</t>
  </si>
  <si>
    <t>Adjusted Purchase Price</t>
  </si>
  <si>
    <t>Less:  Target Book Value of Net Assets</t>
  </si>
  <si>
    <t>Excess Purchase Price to Allocate</t>
  </si>
  <si>
    <t>Write-Up of Tangible Assets</t>
  </si>
  <si>
    <t>Write-Up of Identifiable Intangible Assets</t>
  </si>
  <si>
    <t>Write-Off of Target's Existing Goodwill</t>
  </si>
  <si>
    <t>Write-Off of Target's Existing DTL</t>
  </si>
  <si>
    <t>Allocation to Goodwill (Before DTL Allocation)</t>
  </si>
  <si>
    <t>DTL From Write-Up of Assets</t>
  </si>
  <si>
    <t>DTL From Deferred Compensation</t>
  </si>
  <si>
    <t>Total Goodwill Created</t>
  </si>
  <si>
    <t>Amortization of Identifiable Intangibles</t>
  </si>
  <si>
    <t>Excess of Purchase Price Over Book Value</t>
  </si>
  <si>
    <t>% Allocated to Identifiable Intangibles</t>
  </si>
  <si>
    <t>Write-Up of Intangible Assets</t>
  </si>
  <si>
    <t>Annual Incremental Amortization Expense</t>
  </si>
  <si>
    <t>Marginal Tax Rate</t>
  </si>
  <si>
    <t>After-Tax Annual Amortization Expense</t>
  </si>
  <si>
    <t>Depreciation of Fixed Asset Write-Up</t>
  </si>
  <si>
    <t>Annual Incremental Depreciation Expense</t>
  </si>
  <si>
    <t>After-Tax Annual Depreciation Expense</t>
  </si>
  <si>
    <t>Deferred Stock-Based Compensation Expense (FIN 44)</t>
  </si>
  <si>
    <t>Intrinsic Value of Unvested Options</t>
  </si>
  <si>
    <t>Write-Up for Deferred Compensation</t>
  </si>
  <si>
    <t>Margin Tax Rate</t>
  </si>
  <si>
    <t>After-Tax Annual Compensation Expense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</si>
</sst>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_);\(0.0%\);0.0%_);@_)"/>
    <numFmt numFmtId="169" formatCode="&quot;$&quot;#,##0.00_);\(&quot;$&quot;#,##0.00\);&quot;$&quot;#,##0.00_);@_)"/>
    <numFmt numFmtId="170" formatCode="&quot;yes&quot;;&quot;ERROR&quot;;&quot;no&quot;;&quot;ERROR&quot;"/>
    <numFmt numFmtId="171" formatCode="#,##0.000_);\(#,##0.000\);#,##0.000_);@_)"/>
    <numFmt numFmtId="172" formatCode="#,##0_);\(#,##0\);#,##0_);@_)"/>
    <numFmt numFmtId="173" formatCode="&quot;$&quot;#,##0.0_);\(&quot;$&quot;#,##0.0\);&quot;$&quot;#,##0.0_);@_)"/>
    <numFmt numFmtId="174" formatCode="#,##0.0_);\(#,##0.0\);#,##0.0_);@_)"/>
    <numFmt numFmtId="175" formatCode="#,##0.00_);\(#,##0.00\);#,##0.00_);@_)"/>
    <numFmt numFmtId="176" formatCode="#,##0.0_);\(#,##0.0\)"/>
    <numFmt numFmtId="177" formatCode="0000\A"/>
    <numFmt numFmtId="178" formatCode="&quot;$&quot;#,##0.0_);\(&quot;$&quot;#,##0.0\)"/>
    <numFmt numFmtId="179" formatCode="0000\P"/>
    <numFmt numFmtId="180" formatCode="0000&quot;E&quot;"/>
    <numFmt numFmtId="181" formatCode="0.00\x_);\(0.00\x\);0.00\x_);@_)"/>
    <numFmt numFmtId="182" formatCode="0.0\x_);\(0.0\x\);0.0\x_);@_)"/>
    <numFmt numFmtId="183" formatCode="0.00_);\(0.00\)"/>
    <numFmt numFmtId="184" formatCode="#,##0.0000_);\(#,##0.0000\);#,##0.0000_);@_)"/>
  </numFmts>
  <fonts count="23">
    <font>
      <sz val="10"/>
      <name val="Arial"/>
      <family val="0"/>
    </font>
    <font>
      <sz val="18"/>
      <color indexed="8"/>
      <name val="Arial"/>
      <family val="2"/>
    </font>
    <font>
      <i/>
      <sz val="8"/>
      <name val="Arial"/>
      <family val="2"/>
    </font>
    <font>
      <b/>
      <sz val="10"/>
      <color indexed="9"/>
      <name val="Arial"/>
      <family val="2"/>
    </font>
    <font>
      <sz val="10"/>
      <color indexed="9"/>
      <name val="Arial"/>
      <family val="2"/>
    </font>
    <font>
      <b/>
      <sz val="10"/>
      <color indexed="12"/>
      <name val="Arial"/>
      <family val="2"/>
    </font>
    <font>
      <b/>
      <sz val="10"/>
      <name val="Arial"/>
      <family val="2"/>
    </font>
    <font>
      <sz val="10"/>
      <color indexed="12"/>
      <name val="Arial"/>
      <family val="0"/>
    </font>
    <font>
      <sz val="10"/>
      <color indexed="8"/>
      <name val="Arial"/>
      <family val="0"/>
    </font>
    <font>
      <b/>
      <sz val="10"/>
      <color indexed="8"/>
      <name val="Arial"/>
      <family val="2"/>
    </font>
    <font>
      <sz val="8"/>
      <name val="Arial"/>
      <family val="0"/>
    </font>
    <font>
      <b/>
      <u val="single"/>
      <sz val="10"/>
      <name val="Arial"/>
      <family val="2"/>
    </font>
    <font>
      <i/>
      <sz val="10"/>
      <color indexed="12"/>
      <name val="Arial"/>
      <family val="2"/>
    </font>
    <font>
      <i/>
      <sz val="10"/>
      <color indexed="17"/>
      <name val="Arial"/>
      <family val="2"/>
    </font>
    <font>
      <sz val="8"/>
      <color indexed="8"/>
      <name val="Tahoma"/>
      <family val="0"/>
    </font>
    <font>
      <i/>
      <sz val="16"/>
      <color indexed="8"/>
      <name val="Arial"/>
      <family val="2"/>
    </font>
    <font>
      <i/>
      <sz val="10"/>
      <name val="Arial"/>
      <family val="2"/>
    </font>
    <font>
      <b/>
      <sz val="10"/>
      <color indexed="17"/>
      <name val="Arial"/>
      <family val="2"/>
    </font>
    <font>
      <i/>
      <sz val="10"/>
      <color indexed="8"/>
      <name val="Arial"/>
      <family val="2"/>
    </font>
    <font>
      <i/>
      <sz val="9"/>
      <name val="Arial"/>
      <family val="2"/>
    </font>
    <font>
      <sz val="10"/>
      <color indexed="10"/>
      <name val="Arial"/>
      <family val="0"/>
    </font>
    <font>
      <sz val="10"/>
      <color indexed="17"/>
      <name val="Arial"/>
      <family val="0"/>
    </font>
    <font>
      <b/>
      <sz val="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color indexed="63"/>
      </right>
      <top style="medium">
        <color indexed="22"/>
      </top>
      <bottom style="double">
        <color indexed="22"/>
      </bottom>
    </border>
    <border>
      <left>
        <color indexed="63"/>
      </left>
      <right>
        <color indexed="63"/>
      </right>
      <top style="medium">
        <color indexed="22"/>
      </top>
      <bottom style="medium">
        <color indexed="2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0" xfId="0" applyFont="1" applyAlignment="1">
      <alignment/>
    </xf>
    <xf numFmtId="0" fontId="3" fillId="2" borderId="0" xfId="0" applyFont="1" applyFill="1" applyAlignment="1">
      <alignment horizontal="centerContinuous"/>
    </xf>
    <xf numFmtId="0" fontId="4" fillId="2" borderId="0" xfId="0" applyFont="1" applyFill="1" applyAlignment="1">
      <alignment horizontal="centerContinuous"/>
    </xf>
    <xf numFmtId="0" fontId="5" fillId="0" borderId="0" xfId="0" applyFont="1" applyAlignment="1">
      <alignment/>
    </xf>
    <xf numFmtId="0" fontId="6" fillId="0" borderId="2" xfId="0" applyFont="1" applyBorder="1" applyAlignment="1">
      <alignment horizontal="centerContinuous"/>
    </xf>
    <xf numFmtId="0" fontId="0" fillId="0" borderId="0" xfId="0" applyAlignment="1">
      <alignment horizontal="centerContinuous"/>
    </xf>
    <xf numFmtId="14" fontId="7" fillId="0" borderId="0" xfId="0" applyNumberFormat="1" applyFont="1" applyAlignment="1">
      <alignment/>
    </xf>
    <xf numFmtId="169" fontId="7" fillId="0" borderId="0" xfId="0" applyNumberFormat="1" applyFont="1" applyAlignment="1">
      <alignment/>
    </xf>
    <xf numFmtId="14" fontId="8" fillId="0" borderId="0" xfId="0" applyNumberFormat="1" applyFont="1" applyAlignment="1">
      <alignment/>
    </xf>
    <xf numFmtId="171" fontId="7" fillId="0" borderId="0" xfId="0" applyNumberFormat="1" applyFont="1" applyAlignment="1">
      <alignment/>
    </xf>
    <xf numFmtId="171" fontId="0" fillId="0" borderId="0" xfId="0" applyNumberFormat="1" applyAlignment="1">
      <alignment/>
    </xf>
    <xf numFmtId="171" fontId="8" fillId="0" borderId="0" xfId="0" applyNumberFormat="1" applyFont="1" applyAlignment="1">
      <alignment/>
    </xf>
    <xf numFmtId="171" fontId="8" fillId="0" borderId="3" xfId="0" applyNumberFormat="1" applyFont="1" applyBorder="1" applyAlignment="1">
      <alignment/>
    </xf>
    <xf numFmtId="173" fontId="8"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6" fillId="0" borderId="0" xfId="0" applyFont="1" applyAlignment="1">
      <alignment/>
    </xf>
    <xf numFmtId="173" fontId="9" fillId="0" borderId="4" xfId="0" applyNumberFormat="1" applyFont="1" applyBorder="1" applyAlignment="1">
      <alignment/>
    </xf>
    <xf numFmtId="0" fontId="0" fillId="0" borderId="2" xfId="0" applyBorder="1" applyAlignment="1">
      <alignment horizontal="center"/>
    </xf>
    <xf numFmtId="0" fontId="0" fillId="0" borderId="0" xfId="0" applyAlignment="1">
      <alignment horizontal="center"/>
    </xf>
    <xf numFmtId="173" fontId="7" fillId="0" borderId="0" xfId="0" applyNumberFormat="1" applyFont="1" applyAlignment="1">
      <alignment/>
    </xf>
    <xf numFmtId="169" fontId="0" fillId="0" borderId="0" xfId="0" applyNumberFormat="1" applyAlignment="1">
      <alignment/>
    </xf>
    <xf numFmtId="169" fontId="7" fillId="0" borderId="0" xfId="0" applyNumberFormat="1" applyFont="1" applyAlignment="1">
      <alignment horizontal="right"/>
    </xf>
    <xf numFmtId="169" fontId="7" fillId="0" borderId="0" xfId="0" applyNumberFormat="1" applyFont="1" applyFill="1" applyBorder="1" applyAlignment="1">
      <alignment/>
    </xf>
    <xf numFmtId="168" fontId="7" fillId="0" borderId="0" xfId="0" applyNumberFormat="1" applyFont="1" applyAlignment="1">
      <alignment/>
    </xf>
    <xf numFmtId="170" fontId="8" fillId="0" borderId="0" xfId="0" applyNumberFormat="1" applyFont="1" applyFill="1" applyBorder="1" applyAlignment="1">
      <alignment/>
    </xf>
    <xf numFmtId="170" fontId="0" fillId="0" borderId="0" xfId="0" applyNumberFormat="1" applyFont="1" applyFill="1" applyBorder="1" applyAlignment="1">
      <alignment/>
    </xf>
    <xf numFmtId="14" fontId="7" fillId="0" borderId="0" xfId="0" applyNumberFormat="1" applyFont="1" applyAlignment="1">
      <alignment horizontal="centerContinuous"/>
    </xf>
    <xf numFmtId="14" fontId="0" fillId="0" borderId="0" xfId="0" applyNumberFormat="1" applyAlignment="1">
      <alignment horizontal="centerContinuous"/>
    </xf>
    <xf numFmtId="0" fontId="0" fillId="0" borderId="2" xfId="0" applyBorder="1" applyAlignment="1">
      <alignment horizontal="centerContinuous"/>
    </xf>
    <xf numFmtId="169" fontId="8" fillId="0" borderId="0" xfId="0" applyNumberFormat="1" applyFont="1" applyAlignment="1">
      <alignment/>
    </xf>
    <xf numFmtId="175" fontId="7" fillId="0" borderId="0" xfId="0" applyNumberFormat="1" applyFont="1" applyAlignment="1">
      <alignment/>
    </xf>
    <xf numFmtId="176" fontId="8" fillId="0" borderId="0" xfId="0" applyNumberFormat="1" applyFont="1" applyAlignment="1">
      <alignment/>
    </xf>
    <xf numFmtId="175" fontId="8" fillId="0" borderId="0" xfId="0" applyNumberFormat="1" applyFont="1" applyAlignment="1">
      <alignment/>
    </xf>
    <xf numFmtId="0" fontId="6" fillId="0" borderId="0" xfId="0" applyFont="1" applyAlignment="1">
      <alignment horizontal="right"/>
    </xf>
    <xf numFmtId="171" fontId="9" fillId="0" borderId="3" xfId="0" applyNumberFormat="1" applyFont="1" applyBorder="1" applyAlignment="1">
      <alignment/>
    </xf>
    <xf numFmtId="0" fontId="0" fillId="0" borderId="0" xfId="0" applyAlignment="1">
      <alignment/>
    </xf>
    <xf numFmtId="0" fontId="7" fillId="0" borderId="0" xfId="0" applyFont="1" applyAlignment="1">
      <alignment horizontal="centerContinuous"/>
    </xf>
    <xf numFmtId="0" fontId="11" fillId="0" borderId="0" xfId="0" applyFont="1" applyAlignment="1">
      <alignment/>
    </xf>
    <xf numFmtId="0" fontId="7" fillId="0" borderId="0" xfId="0" applyNumberFormat="1" applyFont="1" applyBorder="1" applyAlignment="1">
      <alignment horizontal="center"/>
    </xf>
    <xf numFmtId="168" fontId="12" fillId="0" borderId="0" xfId="0" applyNumberFormat="1" applyFont="1" applyAlignment="1">
      <alignment/>
    </xf>
    <xf numFmtId="170" fontId="7" fillId="0" borderId="0" xfId="0" applyNumberFormat="1" applyFont="1" applyBorder="1" applyAlignment="1">
      <alignment horizontal="center"/>
    </xf>
    <xf numFmtId="10" fontId="12" fillId="0" borderId="0" xfId="0" applyNumberFormat="1" applyFont="1" applyAlignment="1">
      <alignment/>
    </xf>
    <xf numFmtId="0" fontId="0" fillId="0" borderId="0" xfId="0" applyFill="1" applyAlignment="1">
      <alignment/>
    </xf>
    <xf numFmtId="172" fontId="7" fillId="0" borderId="0" xfId="0" applyNumberFormat="1" applyFont="1" applyFill="1" applyAlignment="1">
      <alignment/>
    </xf>
    <xf numFmtId="0" fontId="8" fillId="0" borderId="0" xfId="0" applyNumberFormat="1" applyFont="1" applyAlignment="1">
      <alignment/>
    </xf>
    <xf numFmtId="173" fontId="7" fillId="0" borderId="0" xfId="0" applyNumberFormat="1" applyFont="1" applyAlignment="1">
      <alignment/>
    </xf>
    <xf numFmtId="168" fontId="12" fillId="0" borderId="0" xfId="0" applyNumberFormat="1" applyFont="1" applyAlignment="1">
      <alignment/>
    </xf>
    <xf numFmtId="172" fontId="7" fillId="0" borderId="0" xfId="0" applyNumberFormat="1" applyFont="1" applyAlignment="1">
      <alignment/>
    </xf>
    <xf numFmtId="172" fontId="7" fillId="0" borderId="0" xfId="0" applyNumberFormat="1" applyFont="1" applyAlignment="1">
      <alignment/>
    </xf>
    <xf numFmtId="168" fontId="13" fillId="0" borderId="0" xfId="0" applyNumberFormat="1" applyFont="1" applyAlignment="1">
      <alignment/>
    </xf>
    <xf numFmtId="0" fontId="6" fillId="0" borderId="0" xfId="0" applyFont="1" applyFill="1" applyAlignment="1">
      <alignment horizontal="centerContinuous"/>
    </xf>
    <xf numFmtId="0" fontId="15" fillId="0" borderId="1" xfId="0" applyFont="1" applyBorder="1" applyAlignment="1">
      <alignment/>
    </xf>
    <xf numFmtId="0" fontId="16" fillId="0" borderId="0" xfId="0" applyFont="1" applyAlignment="1">
      <alignment/>
    </xf>
    <xf numFmtId="177" fontId="9" fillId="0" borderId="2" xfId="0" applyNumberFormat="1" applyFont="1" applyBorder="1" applyAlignment="1">
      <alignment horizontal="center"/>
    </xf>
    <xf numFmtId="177" fontId="17" fillId="0" borderId="5" xfId="0" applyNumberFormat="1" applyFont="1" applyFill="1" applyBorder="1" applyAlignment="1">
      <alignment horizontal="center"/>
    </xf>
    <xf numFmtId="173" fontId="6" fillId="0" borderId="0" xfId="0" applyNumberFormat="1" applyFont="1" applyAlignment="1">
      <alignment/>
    </xf>
    <xf numFmtId="173" fontId="5" fillId="0" borderId="0" xfId="0" applyNumberFormat="1" applyFont="1" applyAlignment="1">
      <alignment/>
    </xf>
    <xf numFmtId="0" fontId="16" fillId="0" borderId="0" xfId="0" applyFont="1" applyAlignment="1">
      <alignment horizontal="right"/>
    </xf>
    <xf numFmtId="168" fontId="18" fillId="0" borderId="0" xfId="0" applyNumberFormat="1" applyFont="1" applyAlignment="1">
      <alignment/>
    </xf>
    <xf numFmtId="174" fontId="0" fillId="0" borderId="0" xfId="0" applyNumberFormat="1" applyAlignment="1">
      <alignment/>
    </xf>
    <xf numFmtId="168" fontId="18" fillId="0" borderId="0" xfId="0" applyNumberFormat="1" applyFont="1" applyAlignment="1">
      <alignment horizontal="right"/>
    </xf>
    <xf numFmtId="173" fontId="8" fillId="0" borderId="3" xfId="0" applyNumberFormat="1" applyFont="1" applyBorder="1" applyAlignment="1">
      <alignment/>
    </xf>
    <xf numFmtId="174" fontId="7" fillId="0" borderId="0" xfId="0" applyNumberFormat="1" applyFont="1" applyFill="1" applyBorder="1" applyAlignment="1">
      <alignment/>
    </xf>
    <xf numFmtId="0" fontId="0" fillId="0" borderId="6" xfId="0" applyBorder="1" applyAlignment="1">
      <alignment/>
    </xf>
    <xf numFmtId="0" fontId="0" fillId="0" borderId="7" xfId="0" applyBorder="1" applyAlignment="1">
      <alignment/>
    </xf>
    <xf numFmtId="0" fontId="6" fillId="0" borderId="0" xfId="0" applyFont="1" applyBorder="1" applyAlignment="1">
      <alignment/>
    </xf>
    <xf numFmtId="173" fontId="9" fillId="0" borderId="0" xfId="0" applyNumberFormat="1" applyFont="1" applyBorder="1" applyAlignment="1">
      <alignment/>
    </xf>
    <xf numFmtId="0" fontId="6" fillId="0" borderId="8" xfId="0" applyFont="1" applyBorder="1" applyAlignment="1">
      <alignment/>
    </xf>
    <xf numFmtId="0" fontId="16" fillId="0" borderId="0" xfId="0" applyFont="1" applyBorder="1" applyAlignment="1">
      <alignment/>
    </xf>
    <xf numFmtId="168" fontId="18" fillId="0" borderId="0" xfId="0" applyNumberFormat="1" applyFont="1" applyBorder="1" applyAlignment="1">
      <alignment horizontal="right"/>
    </xf>
    <xf numFmtId="0" fontId="16" fillId="0" borderId="8" xfId="0" applyFont="1" applyBorder="1" applyAlignment="1">
      <alignment/>
    </xf>
    <xf numFmtId="0" fontId="0" fillId="0" borderId="0" xfId="0" applyBorder="1" applyAlignment="1">
      <alignment/>
    </xf>
    <xf numFmtId="0" fontId="0" fillId="0" borderId="8" xfId="0" applyBorder="1" applyAlignment="1">
      <alignment/>
    </xf>
    <xf numFmtId="174" fontId="0" fillId="0" borderId="0" xfId="0" applyNumberFormat="1" applyBorder="1" applyAlignment="1">
      <alignment/>
    </xf>
    <xf numFmtId="174" fontId="7" fillId="0" borderId="0" xfId="0" applyNumberFormat="1" applyFont="1" applyBorder="1" applyAlignment="1">
      <alignment/>
    </xf>
    <xf numFmtId="174" fontId="0" fillId="0" borderId="8" xfId="0" applyNumberFormat="1" applyBorder="1" applyAlignment="1">
      <alignment/>
    </xf>
    <xf numFmtId="0" fontId="0" fillId="0" borderId="9" xfId="0" applyBorder="1" applyAlignment="1">
      <alignment/>
    </xf>
    <xf numFmtId="0" fontId="0" fillId="0" borderId="10" xfId="0" applyBorder="1" applyAlignment="1">
      <alignment/>
    </xf>
    <xf numFmtId="0" fontId="0" fillId="0" borderId="0" xfId="0" applyNumberFormat="1" applyFont="1" applyFill="1" applyBorder="1" applyAlignment="1">
      <alignment/>
    </xf>
    <xf numFmtId="43" fontId="7" fillId="0" borderId="0" xfId="15" applyFont="1" applyAlignment="1">
      <alignment/>
    </xf>
    <xf numFmtId="173" fontId="9" fillId="0" borderId="0" xfId="0" applyNumberFormat="1" applyFont="1" applyAlignment="1">
      <alignment/>
    </xf>
    <xf numFmtId="0" fontId="6" fillId="0" borderId="11" xfId="0" applyFont="1" applyBorder="1" applyAlignment="1">
      <alignment/>
    </xf>
    <xf numFmtId="169" fontId="9" fillId="0" borderId="11" xfId="0" applyNumberFormat="1" applyFont="1" applyBorder="1" applyAlignment="1">
      <alignment/>
    </xf>
    <xf numFmtId="0" fontId="6" fillId="0" borderId="12" xfId="0" applyFont="1" applyBorder="1" applyAlignment="1">
      <alignment/>
    </xf>
    <xf numFmtId="174" fontId="8" fillId="0" borderId="0" xfId="0" applyNumberFormat="1" applyFont="1" applyAlignment="1">
      <alignment/>
    </xf>
    <xf numFmtId="173" fontId="0" fillId="0" borderId="0" xfId="0" applyNumberFormat="1" applyAlignment="1">
      <alignment/>
    </xf>
    <xf numFmtId="178" fontId="8" fillId="0" borderId="3" xfId="0" applyNumberFormat="1" applyFont="1" applyBorder="1" applyAlignment="1">
      <alignment/>
    </xf>
    <xf numFmtId="0" fontId="0" fillId="0" borderId="13" xfId="0" applyBorder="1" applyAlignment="1">
      <alignment/>
    </xf>
    <xf numFmtId="0" fontId="6" fillId="0" borderId="0" xfId="0" applyFont="1" applyBorder="1" applyAlignment="1">
      <alignment horizontal="left"/>
    </xf>
    <xf numFmtId="177" fontId="17" fillId="0" borderId="0" xfId="0" applyNumberFormat="1" applyFont="1" applyFill="1" applyBorder="1" applyAlignment="1">
      <alignment horizontal="center"/>
    </xf>
    <xf numFmtId="179" fontId="9" fillId="0" borderId="2" xfId="0" applyNumberFormat="1" applyFont="1" applyBorder="1" applyAlignment="1">
      <alignment horizontal="center"/>
    </xf>
    <xf numFmtId="173" fontId="8" fillId="0" borderId="0" xfId="0" applyNumberFormat="1" applyFont="1" applyBorder="1" applyAlignment="1">
      <alignment/>
    </xf>
    <xf numFmtId="0" fontId="2" fillId="0" borderId="0" xfId="0" applyFont="1" applyBorder="1" applyAlignment="1">
      <alignment/>
    </xf>
    <xf numFmtId="174" fontId="8" fillId="0" borderId="0" xfId="0" applyNumberFormat="1" applyFont="1" applyBorder="1" applyAlignment="1">
      <alignment/>
    </xf>
    <xf numFmtId="43" fontId="0" fillId="0" borderId="0" xfId="15" applyNumberFormat="1" applyAlignment="1">
      <alignment/>
    </xf>
    <xf numFmtId="0" fontId="6" fillId="0" borderId="0" xfId="0" applyFont="1" applyAlignment="1">
      <alignment horizontal="center"/>
    </xf>
    <xf numFmtId="179" fontId="9" fillId="0" borderId="0" xfId="0" applyNumberFormat="1" applyFont="1" applyBorder="1" applyAlignment="1">
      <alignment horizontal="center"/>
    </xf>
    <xf numFmtId="180" fontId="9" fillId="0" borderId="2" xfId="0" applyNumberFormat="1" applyFont="1" applyBorder="1" applyAlignment="1">
      <alignment horizontal="center"/>
    </xf>
    <xf numFmtId="14" fontId="6" fillId="0" borderId="2" xfId="0" applyNumberFormat="1" applyFont="1" applyBorder="1" applyAlignment="1">
      <alignment horizontal="center"/>
    </xf>
    <xf numFmtId="43" fontId="8" fillId="0" borderId="0" xfId="15" applyFont="1" applyAlignment="1">
      <alignment/>
    </xf>
    <xf numFmtId="43" fontId="0" fillId="0" borderId="0" xfId="15" applyFont="1" applyFill="1" applyBorder="1" applyAlignment="1" applyProtection="1">
      <alignment/>
      <protection/>
    </xf>
    <xf numFmtId="0" fontId="0" fillId="0" borderId="0" xfId="0" applyNumberFormat="1" applyFont="1" applyFill="1" applyBorder="1" applyAlignment="1" applyProtection="1">
      <alignment/>
      <protection/>
    </xf>
    <xf numFmtId="173" fontId="9" fillId="0" borderId="3" xfId="0" applyNumberFormat="1" applyFont="1" applyBorder="1" applyAlignment="1">
      <alignment/>
    </xf>
    <xf numFmtId="168" fontId="12" fillId="0" borderId="0" xfId="0" applyNumberFormat="1" applyFont="1" applyBorder="1" applyAlignment="1">
      <alignment horizontal="right"/>
    </xf>
    <xf numFmtId="0" fontId="19" fillId="0" borderId="0" xfId="0" applyFont="1" applyAlignment="1">
      <alignment/>
    </xf>
    <xf numFmtId="177" fontId="6" fillId="0" borderId="2" xfId="0" applyNumberFormat="1" applyFont="1" applyBorder="1" applyAlignment="1">
      <alignment horizontal="center"/>
    </xf>
    <xf numFmtId="0" fontId="0" fillId="0" borderId="0" xfId="0" applyFont="1" applyAlignment="1">
      <alignment/>
    </xf>
    <xf numFmtId="177" fontId="17" fillId="0" borderId="2" xfId="0" applyNumberFormat="1" applyFont="1" applyBorder="1" applyAlignment="1">
      <alignment horizontal="center"/>
    </xf>
    <xf numFmtId="168" fontId="12" fillId="0" borderId="0" xfId="0" applyNumberFormat="1" applyFont="1" applyAlignment="1">
      <alignment horizontal="right"/>
    </xf>
    <xf numFmtId="174" fontId="7" fillId="0" borderId="0" xfId="15" applyNumberFormat="1" applyFont="1" applyAlignment="1">
      <alignment/>
    </xf>
    <xf numFmtId="171" fontId="20" fillId="0" borderId="0" xfId="0" applyNumberFormat="1" applyFont="1" applyAlignment="1">
      <alignment/>
    </xf>
    <xf numFmtId="171" fontId="0" fillId="0" borderId="0" xfId="0" applyNumberFormat="1" applyFont="1" applyAlignment="1">
      <alignment/>
    </xf>
    <xf numFmtId="178" fontId="0" fillId="0" borderId="0" xfId="0" applyNumberFormat="1" applyBorder="1" applyAlignment="1">
      <alignment/>
    </xf>
    <xf numFmtId="169" fontId="21" fillId="0" borderId="0" xfId="0" applyNumberFormat="1" applyFont="1" applyAlignment="1">
      <alignment/>
    </xf>
    <xf numFmtId="0" fontId="17" fillId="0" borderId="0" xfId="0" applyFont="1" applyAlignment="1">
      <alignment horizontal="center"/>
    </xf>
    <xf numFmtId="14" fontId="17" fillId="0" borderId="2" xfId="0" applyNumberFormat="1" applyFont="1" applyBorder="1" applyAlignment="1">
      <alignment horizontal="center"/>
    </xf>
    <xf numFmtId="0" fontId="21" fillId="0" borderId="0" xfId="0" applyNumberFormat="1" applyFont="1" applyAlignment="1">
      <alignment/>
    </xf>
    <xf numFmtId="0" fontId="7" fillId="0" borderId="0" xfId="0" applyNumberFormat="1" applyFont="1" applyAlignment="1">
      <alignment/>
    </xf>
    <xf numFmtId="174" fontId="21" fillId="0" borderId="0" xfId="0" applyNumberFormat="1" applyFont="1" applyAlignment="1">
      <alignment/>
    </xf>
    <xf numFmtId="171" fontId="18" fillId="0" borderId="0" xfId="0" applyNumberFormat="1" applyFont="1" applyAlignment="1">
      <alignment/>
    </xf>
    <xf numFmtId="0" fontId="17" fillId="3" borderId="0" xfId="0" applyFont="1" applyFill="1" applyBorder="1" applyAlignment="1">
      <alignment horizontal="center"/>
    </xf>
    <xf numFmtId="169" fontId="17" fillId="3" borderId="14" xfId="0" applyNumberFormat="1" applyFont="1" applyFill="1" applyBorder="1" applyAlignment="1">
      <alignment horizontal="center"/>
    </xf>
    <xf numFmtId="173" fontId="17" fillId="0" borderId="0" xfId="0" applyNumberFormat="1" applyFont="1" applyAlignment="1">
      <alignment horizontal="center"/>
    </xf>
    <xf numFmtId="169" fontId="9" fillId="0" borderId="2" xfId="0" applyNumberFormat="1" applyFont="1" applyBorder="1" applyAlignment="1">
      <alignment horizontal="center"/>
    </xf>
    <xf numFmtId="169" fontId="9" fillId="0" borderId="0" xfId="0" applyNumberFormat="1" applyFont="1" applyBorder="1" applyAlignment="1">
      <alignment/>
    </xf>
    <xf numFmtId="169" fontId="9" fillId="0" borderId="0" xfId="0" applyNumberFormat="1" applyFont="1" applyAlignment="1">
      <alignment/>
    </xf>
    <xf numFmtId="4" fontId="9" fillId="0" borderId="0" xfId="0" applyNumberFormat="1" applyFont="1" applyAlignment="1">
      <alignment/>
    </xf>
    <xf numFmtId="169" fontId="9" fillId="0" borderId="0" xfId="0" applyNumberFormat="1" applyFont="1" applyBorder="1" applyAlignment="1">
      <alignment horizontal="center"/>
    </xf>
    <xf numFmtId="169" fontId="17" fillId="3" borderId="14" xfId="0" applyNumberFormat="1" applyFont="1" applyFill="1" applyBorder="1" applyAlignment="1">
      <alignment/>
    </xf>
    <xf numFmtId="0" fontId="0" fillId="3" borderId="0" xfId="0" applyFill="1" applyBorder="1" applyAlignment="1">
      <alignment/>
    </xf>
    <xf numFmtId="173" fontId="21" fillId="3" borderId="0" xfId="0" applyNumberFormat="1" applyFont="1" applyFill="1" applyBorder="1" applyAlignment="1">
      <alignment/>
    </xf>
    <xf numFmtId="173" fontId="21" fillId="0" borderId="0" xfId="0" applyNumberFormat="1" applyFont="1" applyAlignment="1">
      <alignment/>
    </xf>
    <xf numFmtId="174" fontId="21" fillId="3" borderId="0" xfId="0" applyNumberFormat="1" applyFont="1" applyFill="1" applyBorder="1" applyAlignment="1">
      <alignment/>
    </xf>
    <xf numFmtId="0" fontId="21" fillId="0" borderId="0" xfId="0" applyFont="1" applyAlignment="1">
      <alignment/>
    </xf>
    <xf numFmtId="173" fontId="9" fillId="3" borderId="13" xfId="0" applyNumberFormat="1" applyFont="1" applyFill="1" applyBorder="1" applyAlignment="1">
      <alignment/>
    </xf>
    <xf numFmtId="173" fontId="6" fillId="0" borderId="3" xfId="0" applyNumberFormat="1" applyFont="1" applyBorder="1" applyAlignment="1">
      <alignment/>
    </xf>
    <xf numFmtId="173" fontId="6" fillId="3" borderId="13" xfId="0" applyNumberFormat="1" applyFont="1" applyFill="1" applyBorder="1" applyAlignment="1">
      <alignment/>
    </xf>
    <xf numFmtId="0" fontId="20" fillId="0" borderId="0" xfId="0" applyFont="1" applyAlignment="1">
      <alignment/>
    </xf>
    <xf numFmtId="0" fontId="17" fillId="0" borderId="2" xfId="0" applyFont="1" applyBorder="1" applyAlignment="1">
      <alignment horizontal="center"/>
    </xf>
    <xf numFmtId="0" fontId="6" fillId="3" borderId="0" xfId="0" applyFont="1" applyFill="1" applyBorder="1" applyAlignment="1">
      <alignment horizontal="center"/>
    </xf>
    <xf numFmtId="168" fontId="18" fillId="3" borderId="0" xfId="0" applyNumberFormat="1" applyFont="1" applyFill="1" applyBorder="1" applyAlignment="1">
      <alignment/>
    </xf>
    <xf numFmtId="175" fontId="21" fillId="0" borderId="0" xfId="0" applyNumberFormat="1" applyFont="1" applyAlignment="1">
      <alignment/>
    </xf>
    <xf numFmtId="181" fontId="8" fillId="3" borderId="0" xfId="0" applyNumberFormat="1" applyFont="1" applyFill="1" applyBorder="1" applyAlignment="1">
      <alignment/>
    </xf>
    <xf numFmtId="181" fontId="0" fillId="0" borderId="0" xfId="0" applyNumberFormat="1" applyAlignment="1">
      <alignment/>
    </xf>
    <xf numFmtId="182" fontId="8" fillId="3" borderId="0" xfId="0" applyNumberFormat="1" applyFont="1" applyFill="1" applyBorder="1" applyAlignment="1">
      <alignment/>
    </xf>
    <xf numFmtId="182" fontId="0" fillId="0" borderId="0" xfId="0" applyNumberFormat="1" applyAlignment="1">
      <alignment/>
    </xf>
    <xf numFmtId="7" fontId="21" fillId="0" borderId="0" xfId="17" applyNumberFormat="1" applyFont="1" applyAlignment="1">
      <alignment/>
    </xf>
    <xf numFmtId="183" fontId="21" fillId="0" borderId="0" xfId="0" applyNumberFormat="1" applyFont="1" applyAlignment="1">
      <alignment/>
    </xf>
    <xf numFmtId="182" fontId="0" fillId="3" borderId="0" xfId="0" applyNumberFormat="1" applyFill="1" applyBorder="1" applyAlignment="1">
      <alignment/>
    </xf>
    <xf numFmtId="0" fontId="6" fillId="0" borderId="2" xfId="0" applyFont="1" applyBorder="1" applyAlignment="1">
      <alignment horizontal="center"/>
    </xf>
    <xf numFmtId="169" fontId="17" fillId="0" borderId="2" xfId="0" applyNumberFormat="1" applyFont="1" applyBorder="1" applyAlignment="1">
      <alignment horizontal="center"/>
    </xf>
    <xf numFmtId="0" fontId="0" fillId="2" borderId="0" xfId="0" applyFill="1" applyAlignment="1">
      <alignment horizontal="centerContinuous"/>
    </xf>
    <xf numFmtId="168" fontId="12" fillId="0" borderId="0" xfId="0" applyNumberFormat="1" applyFont="1" applyFill="1" applyBorder="1" applyAlignment="1">
      <alignment/>
    </xf>
    <xf numFmtId="184" fontId="8" fillId="0" borderId="0" xfId="0" applyNumberFormat="1" applyFont="1" applyAlignment="1">
      <alignment/>
    </xf>
    <xf numFmtId="169" fontId="9" fillId="0" borderId="3" xfId="0" applyNumberFormat="1" applyFont="1" applyBorder="1" applyAlignment="1">
      <alignment/>
    </xf>
    <xf numFmtId="169" fontId="17" fillId="0" borderId="0" xfId="0" applyNumberFormat="1" applyFont="1" applyBorder="1" applyAlignment="1">
      <alignment horizontal="center"/>
    </xf>
    <xf numFmtId="173" fontId="8" fillId="0" borderId="3" xfId="0" applyNumberFormat="1" applyFont="1" applyBorder="1" applyAlignment="1">
      <alignment/>
    </xf>
    <xf numFmtId="0" fontId="6" fillId="0" borderId="0" xfId="0" applyFont="1" applyBorder="1" applyAlignment="1">
      <alignment horizontal="center"/>
    </xf>
    <xf numFmtId="0" fontId="0" fillId="0" borderId="0" xfId="0" applyAlignment="1">
      <alignment horizontal="left"/>
    </xf>
    <xf numFmtId="174" fontId="9" fillId="0" borderId="0" xfId="0" applyNumberFormat="1" applyFont="1" applyBorder="1" applyAlignment="1">
      <alignment/>
    </xf>
    <xf numFmtId="173" fontId="0" fillId="0" borderId="0" xfId="0" applyNumberFormat="1" applyBorder="1" applyAlignment="1">
      <alignment/>
    </xf>
    <xf numFmtId="174" fontId="21" fillId="0" borderId="0" xfId="15" applyNumberFormat="1" applyFont="1" applyAlignment="1">
      <alignment/>
    </xf>
    <xf numFmtId="174" fontId="0" fillId="0" borderId="0" xfId="15" applyNumberFormat="1" applyAlignment="1">
      <alignment/>
    </xf>
    <xf numFmtId="174" fontId="8" fillId="0" borderId="0" xfId="15" applyNumberFormat="1" applyFont="1" applyAlignment="1">
      <alignment/>
    </xf>
    <xf numFmtId="174" fontId="21" fillId="0" borderId="0" xfId="0" applyNumberFormat="1" applyFont="1" applyFill="1" applyBorder="1" applyAlignment="1">
      <alignment/>
    </xf>
    <xf numFmtId="174" fontId="0" fillId="0" borderId="0" xfId="15" applyNumberFormat="1" applyFont="1" applyFill="1" applyBorder="1" applyAlignment="1">
      <alignment/>
    </xf>
    <xf numFmtId="171" fontId="18" fillId="0" borderId="0" xfId="0" applyNumberFormat="1" applyFont="1" applyBorder="1" applyAlignment="1">
      <alignment/>
    </xf>
    <xf numFmtId="173" fontId="8" fillId="0" borderId="0" xfId="0" applyNumberFormat="1" applyFont="1" applyBorder="1" applyAlignment="1">
      <alignment/>
    </xf>
    <xf numFmtId="173" fontId="0" fillId="0" borderId="0" xfId="0" applyNumberFormat="1" applyFont="1" applyAlignment="1">
      <alignment/>
    </xf>
    <xf numFmtId="173" fontId="21" fillId="0" borderId="0" xfId="0" applyNumberFormat="1" applyFont="1" applyFill="1" applyBorder="1" applyAlignment="1">
      <alignment/>
    </xf>
    <xf numFmtId="173" fontId="8" fillId="0" borderId="3" xfId="0" applyNumberFormat="1" applyFont="1" applyFill="1" applyBorder="1" applyAlignment="1">
      <alignment/>
    </xf>
    <xf numFmtId="173" fontId="8" fillId="0" borderId="0" xfId="0" applyNumberFormat="1" applyFont="1" applyFill="1" applyBorder="1" applyAlignment="1">
      <alignment/>
    </xf>
    <xf numFmtId="174" fontId="21" fillId="0" borderId="0" xfId="0" applyNumberFormat="1" applyFont="1" applyBorder="1" applyAlignment="1">
      <alignment/>
    </xf>
    <xf numFmtId="174" fontId="8" fillId="0" borderId="0" xfId="0" applyNumberFormat="1" applyFont="1" applyBorder="1" applyAlignment="1">
      <alignment/>
    </xf>
    <xf numFmtId="168" fontId="13" fillId="0" borderId="0" xfId="0" applyNumberFormat="1" applyFont="1" applyBorder="1" applyAlignment="1">
      <alignment/>
    </xf>
    <xf numFmtId="168" fontId="18" fillId="0" borderId="0" xfId="0" applyNumberFormat="1" applyFont="1" applyBorder="1" applyAlignment="1">
      <alignment/>
    </xf>
    <xf numFmtId="168" fontId="16"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dxfs count="1">
    <dxf>
      <font>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Administrator\My%20Documents\M&amp;A%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Merger --&gt;&gt;"/>
      <sheetName val="Contribution"/>
      <sheetName val="Acc-Dil"/>
      <sheetName val="PPR"/>
      <sheetName val="S&amp;U"/>
      <sheetName val="GAAP"/>
      <sheetName val="Pro Forma --&gt;&gt;"/>
      <sheetName val="BS"/>
      <sheetName val="IS"/>
      <sheetName val="Inputs --&gt;&gt;"/>
      <sheetName val="Acquirer"/>
      <sheetName val="Target"/>
      <sheetName val="Valuation --&gt;&gt;"/>
      <sheetName val="LBO"/>
      <sheetName val="DCF"/>
    </sheetNames>
    <sheetDataSet>
      <sheetData sheetId="14">
        <row r="34">
          <cell r="AF34">
            <v>0.0278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T67"/>
  <sheetViews>
    <sheetView showGridLines="0" zoomScale="90" zoomScaleNormal="90" workbookViewId="0" topLeftCell="A4">
      <selection activeCell="T12" sqref="T12"/>
    </sheetView>
  </sheetViews>
  <sheetFormatPr defaultColWidth="9.140625" defaultRowHeight="12.75"/>
  <cols>
    <col min="1" max="1" width="1.7109375" style="0" customWidth="1"/>
    <col min="2" max="2" width="9.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9.7109375" style="0" customWidth="1"/>
    <col min="9" max="9" width="1.7109375" style="0" customWidth="1"/>
    <col min="10" max="10" width="9.7109375" style="0" customWidth="1"/>
    <col min="11" max="11" width="1.7109375" style="0" customWidth="1"/>
    <col min="12" max="12" width="9.7109375" style="0" customWidth="1"/>
    <col min="13" max="13" width="1.7109375" style="0" customWidth="1"/>
    <col min="14" max="14" width="9.7109375" style="0" customWidth="1"/>
    <col min="15" max="15" width="1.7109375" style="0" customWidth="1"/>
  </cols>
  <sheetData>
    <row r="1" spans="1:20" ht="24" customHeight="1" thickBot="1">
      <c r="A1" s="1" t="s">
        <v>0</v>
      </c>
      <c r="B1" s="2"/>
      <c r="C1" s="2"/>
      <c r="D1" s="2"/>
      <c r="E1" s="2"/>
      <c r="F1" s="2"/>
      <c r="G1" s="2"/>
      <c r="H1" s="2"/>
      <c r="I1" s="2"/>
      <c r="J1" s="2"/>
      <c r="K1" s="2"/>
      <c r="L1" s="2"/>
      <c r="M1" s="2"/>
      <c r="N1" s="2"/>
      <c r="O1" s="2"/>
      <c r="P1" s="2"/>
      <c r="Q1" s="2"/>
      <c r="R1" s="2"/>
      <c r="S1" s="2"/>
      <c r="T1" s="2"/>
    </row>
    <row r="2" ht="12.75">
      <c r="A2" s="3" t="s">
        <v>1</v>
      </c>
    </row>
    <row r="4" spans="1:20" ht="12.75">
      <c r="A4" s="4" t="s">
        <v>2</v>
      </c>
      <c r="B4" s="5"/>
      <c r="C4" s="5"/>
      <c r="D4" s="5"/>
      <c r="E4" s="5"/>
      <c r="F4" s="5"/>
      <c r="G4" s="5"/>
      <c r="H4" s="5"/>
      <c r="I4" s="5"/>
      <c r="J4" s="5"/>
      <c r="K4" s="5"/>
      <c r="L4" s="5"/>
      <c r="M4" s="5"/>
      <c r="N4" s="5"/>
      <c r="P4" s="4" t="s">
        <v>56</v>
      </c>
      <c r="Q4" s="5"/>
      <c r="R4" s="5"/>
      <c r="S4" s="5"/>
      <c r="T4" s="5"/>
    </row>
    <row r="6" spans="1:16" ht="13.5" customHeight="1" thickBot="1">
      <c r="A6" s="6"/>
      <c r="H6" s="7" t="s">
        <v>3</v>
      </c>
      <c r="I6" s="7"/>
      <c r="J6" s="7"/>
      <c r="L6" s="7" t="s">
        <v>4</v>
      </c>
      <c r="M6" s="7"/>
      <c r="N6" s="7"/>
      <c r="P6" s="41" t="s">
        <v>57</v>
      </c>
    </row>
    <row r="7" spans="12:20" ht="12.75">
      <c r="L7" s="8"/>
      <c r="M7" s="8"/>
      <c r="N7" s="8"/>
      <c r="P7" t="s">
        <v>58</v>
      </c>
      <c r="T7" s="42">
        <v>3</v>
      </c>
    </row>
    <row r="8" spans="1:20" ht="12.75">
      <c r="A8" t="s">
        <v>5</v>
      </c>
      <c r="H8" s="40" t="s">
        <v>6</v>
      </c>
      <c r="I8" s="40"/>
      <c r="J8" s="40"/>
      <c r="K8" s="18"/>
      <c r="L8" s="40" t="s">
        <v>7</v>
      </c>
      <c r="M8" s="8"/>
      <c r="N8" s="8"/>
      <c r="P8" t="s">
        <v>59</v>
      </c>
      <c r="T8" s="43">
        <v>0.4</v>
      </c>
    </row>
    <row r="9" spans="1:14" ht="12.75">
      <c r="A9" t="s">
        <v>8</v>
      </c>
      <c r="H9" s="40" t="s">
        <v>9</v>
      </c>
      <c r="I9" s="40"/>
      <c r="J9" s="40"/>
      <c r="K9" s="18"/>
      <c r="L9" s="40" t="s">
        <v>10</v>
      </c>
      <c r="M9" s="8"/>
      <c r="N9" s="8"/>
    </row>
    <row r="10" ht="12.75">
      <c r="P10" s="41" t="s">
        <v>60</v>
      </c>
    </row>
    <row r="11" spans="1:20" ht="12.75">
      <c r="A11" t="s">
        <v>11</v>
      </c>
      <c r="H11" s="9">
        <v>39585</v>
      </c>
      <c r="I11" s="10"/>
      <c r="J11" s="10">
        <v>31.75</v>
      </c>
      <c r="L11" s="11">
        <f>H11</f>
        <v>39585</v>
      </c>
      <c r="N11" s="10">
        <v>12.81</v>
      </c>
      <c r="P11" t="s">
        <v>61</v>
      </c>
      <c r="T11" s="42">
        <v>1</v>
      </c>
    </row>
    <row r="12" spans="1:20" ht="12.75">
      <c r="A12" t="s">
        <v>12</v>
      </c>
      <c r="H12" s="9">
        <v>39540</v>
      </c>
      <c r="J12" s="10">
        <v>40.36</v>
      </c>
      <c r="L12" s="9">
        <v>39237</v>
      </c>
      <c r="N12" s="10">
        <v>28.22</v>
      </c>
      <c r="P12" t="s">
        <v>62</v>
      </c>
      <c r="T12" s="42">
        <v>0</v>
      </c>
    </row>
    <row r="13" spans="1:20" ht="12.75">
      <c r="A13" t="s">
        <v>13</v>
      </c>
      <c r="H13" s="9">
        <v>39318</v>
      </c>
      <c r="J13" s="10">
        <v>27.18</v>
      </c>
      <c r="L13" s="9">
        <v>38881</v>
      </c>
      <c r="N13" s="10">
        <v>10.49</v>
      </c>
      <c r="P13" t="s">
        <v>63</v>
      </c>
      <c r="T13" s="44">
        <v>0</v>
      </c>
    </row>
    <row r="15" spans="1:16" ht="12.75">
      <c r="A15" t="s">
        <v>14</v>
      </c>
      <c r="J15" s="12">
        <v>207.05</v>
      </c>
      <c r="L15" s="13"/>
      <c r="N15" s="12">
        <v>34.922</v>
      </c>
      <c r="P15" s="41" t="s">
        <v>64</v>
      </c>
    </row>
    <row r="16" spans="1:20" ht="12.75">
      <c r="A16" t="s">
        <v>15</v>
      </c>
      <c r="J16" s="14">
        <f>N52</f>
        <v>2.8993685039370076</v>
      </c>
      <c r="L16" s="13"/>
      <c r="N16" s="14">
        <f>N67</f>
        <v>0.09920608899297431</v>
      </c>
      <c r="P16" t="s">
        <v>65</v>
      </c>
      <c r="T16" s="45">
        <v>0.06</v>
      </c>
    </row>
    <row r="17" spans="1:20" ht="13.5" customHeight="1" thickBot="1">
      <c r="A17" t="s">
        <v>16</v>
      </c>
      <c r="J17" s="14">
        <f>H29*H27+J29*J27</f>
        <v>0</v>
      </c>
      <c r="L17" s="13"/>
      <c r="N17" s="14">
        <f>L29*L27+N29*N27</f>
        <v>0</v>
      </c>
      <c r="P17" s="46" t="s">
        <v>66</v>
      </c>
      <c r="Q17" s="46"/>
      <c r="R17" s="46"/>
      <c r="S17" s="46"/>
      <c r="T17" s="47">
        <v>7</v>
      </c>
    </row>
    <row r="18" spans="1:14" ht="12.75">
      <c r="A18" t="s">
        <v>17</v>
      </c>
      <c r="J18" s="15">
        <f>SUM(J15:J17)</f>
        <v>209.94936850393702</v>
      </c>
      <c r="N18" s="15">
        <f>SUM(N15:N17)</f>
        <v>35.02120608899297</v>
      </c>
    </row>
    <row r="19" ht="12.75">
      <c r="P19" s="41" t="s">
        <v>67</v>
      </c>
    </row>
    <row r="20" spans="1:20" ht="12.75">
      <c r="A20" t="s">
        <v>18</v>
      </c>
      <c r="J20" s="16">
        <f>acq_price*J18</f>
        <v>6665.89245</v>
      </c>
      <c r="N20" s="16">
        <f>tgt_price*N18</f>
        <v>448.62164999999993</v>
      </c>
      <c r="P20" s="48" t="s">
        <v>68</v>
      </c>
      <c r="T20" s="43">
        <v>0.02</v>
      </c>
    </row>
    <row r="21" spans="1:20" ht="13.5" customHeight="1" thickBot="1">
      <c r="A21" t="s">
        <v>19</v>
      </c>
      <c r="J21" s="17">
        <v>-729.619</v>
      </c>
      <c r="K21" s="18"/>
      <c r="L21" s="18"/>
      <c r="M21" s="18"/>
      <c r="N21" s="17">
        <v>83.394</v>
      </c>
      <c r="P21" t="s">
        <v>69</v>
      </c>
      <c r="T21" s="49">
        <v>100</v>
      </c>
    </row>
    <row r="22" spans="1:14" ht="13.5" customHeight="1" thickBot="1">
      <c r="A22" s="19" t="s">
        <v>20</v>
      </c>
      <c r="B22" s="19"/>
      <c r="C22" s="19"/>
      <c r="D22" s="19"/>
      <c r="E22" s="19"/>
      <c r="F22" s="19"/>
      <c r="G22" s="19"/>
      <c r="H22" s="19"/>
      <c r="I22" s="19"/>
      <c r="J22" s="20">
        <f>SUM(J20:J21)</f>
        <v>5936.273450000001</v>
      </c>
      <c r="K22" s="19"/>
      <c r="L22" s="19"/>
      <c r="M22" s="19"/>
      <c r="N22" s="20">
        <f>SUM(N20:N21)</f>
        <v>532.0156499999999</v>
      </c>
    </row>
    <row r="23" ht="13.5" customHeight="1" thickTop="1">
      <c r="P23" s="41" t="s">
        <v>70</v>
      </c>
    </row>
    <row r="24" spans="8:20" ht="13.5" customHeight="1" thickBot="1">
      <c r="H24" s="21" t="s">
        <v>21</v>
      </c>
      <c r="I24" s="22"/>
      <c r="J24" s="21" t="s">
        <v>22</v>
      </c>
      <c r="L24" s="21" t="s">
        <v>21</v>
      </c>
      <c r="N24" s="21" t="s">
        <v>22</v>
      </c>
      <c r="P24" t="s">
        <v>71</v>
      </c>
      <c r="T24" s="23">
        <v>30</v>
      </c>
    </row>
    <row r="25" spans="1:20" ht="12.75">
      <c r="A25" t="s">
        <v>23</v>
      </c>
      <c r="H25" s="23">
        <v>450</v>
      </c>
      <c r="J25" s="23">
        <v>0</v>
      </c>
      <c r="L25" s="23">
        <v>230</v>
      </c>
      <c r="N25" s="23">
        <v>0</v>
      </c>
      <c r="P25" t="s">
        <v>72</v>
      </c>
      <c r="T25" s="43">
        <v>0.01</v>
      </c>
    </row>
    <row r="26" spans="1:14" ht="12.75" customHeight="1">
      <c r="A26" t="s">
        <v>24</v>
      </c>
      <c r="H26" s="10">
        <v>43.12</v>
      </c>
      <c r="I26" s="24"/>
      <c r="J26" s="25" t="s">
        <v>25</v>
      </c>
      <c r="L26" s="26">
        <v>26.77</v>
      </c>
      <c r="N26" s="25" t="s">
        <v>25</v>
      </c>
    </row>
    <row r="27" spans="1:16" ht="12.75">
      <c r="A27" t="s">
        <v>26</v>
      </c>
      <c r="H27" s="14">
        <f>IF(ISERROR(H25/H26),0,H25/H26)</f>
        <v>10.435992578849723</v>
      </c>
      <c r="J27" s="14">
        <f>IF(ISERROR(J25/J26),0,J25/J26)</f>
        <v>0</v>
      </c>
      <c r="L27" s="14">
        <f>IF(ISERROR(L25/L26),0,L25/L26)</f>
        <v>8.591707134852447</v>
      </c>
      <c r="N27" s="14">
        <f>IF(ISERROR(N25/N26),0,N25/N26)</f>
        <v>0</v>
      </c>
      <c r="P27" s="41" t="s">
        <v>73</v>
      </c>
    </row>
    <row r="28" spans="1:20" ht="12.75">
      <c r="A28" t="s">
        <v>27</v>
      </c>
      <c r="H28" s="27">
        <v>0.005</v>
      </c>
      <c r="J28" s="27">
        <v>0</v>
      </c>
      <c r="L28" s="27">
        <v>0.025</v>
      </c>
      <c r="N28" s="27">
        <v>0</v>
      </c>
      <c r="P28" t="s">
        <v>74</v>
      </c>
      <c r="T28" s="44">
        <v>1</v>
      </c>
    </row>
    <row r="29" spans="1:20" ht="12.75" customHeight="1">
      <c r="A29" t="s">
        <v>28</v>
      </c>
      <c r="H29" s="28">
        <f>IF(H26&gt;acq_price,0,1)</f>
        <v>0</v>
      </c>
      <c r="I29" s="29"/>
      <c r="J29" s="28">
        <f>IF(J26&gt;acq_price,0,1)</f>
        <v>0</v>
      </c>
      <c r="L29" s="28">
        <f>IF(L26&gt;tgt_price,0,1)</f>
        <v>0</v>
      </c>
      <c r="N29" s="28">
        <f>IF(N26&gt;tgt_price,0,1)</f>
        <v>0</v>
      </c>
      <c r="P29" t="s">
        <v>75</v>
      </c>
      <c r="T29" s="23">
        <v>25</v>
      </c>
    </row>
    <row r="30" spans="16:20" ht="12.75">
      <c r="P30" t="s">
        <v>76</v>
      </c>
      <c r="T30" s="23">
        <v>50</v>
      </c>
    </row>
    <row r="31" spans="1:14" ht="12.75">
      <c r="A31" t="s">
        <v>29</v>
      </c>
      <c r="H31" s="30">
        <v>39538</v>
      </c>
      <c r="I31" s="8"/>
      <c r="J31" s="8"/>
      <c r="L31" s="30">
        <v>39538</v>
      </c>
      <c r="M31" s="8"/>
      <c r="N31" s="8"/>
    </row>
    <row r="32" spans="1:16" ht="12.75">
      <c r="A32" t="s">
        <v>30</v>
      </c>
      <c r="H32" s="30">
        <v>39355</v>
      </c>
      <c r="I32" s="8"/>
      <c r="J32" s="8"/>
      <c r="L32" s="30">
        <v>39447</v>
      </c>
      <c r="M32" s="8"/>
      <c r="N32" s="8"/>
      <c r="P32" s="41" t="s">
        <v>77</v>
      </c>
    </row>
    <row r="33" spans="8:20" ht="12.75">
      <c r="H33" s="31"/>
      <c r="I33" s="8"/>
      <c r="J33" s="8"/>
      <c r="L33" s="31"/>
      <c r="M33" s="8"/>
      <c r="N33" s="8"/>
      <c r="P33" t="s">
        <v>78</v>
      </c>
      <c r="T33" s="50">
        <v>0.25</v>
      </c>
    </row>
    <row r="34" spans="1:20" ht="12.75">
      <c r="A34" t="s">
        <v>31</v>
      </c>
      <c r="H34" s="40" t="s">
        <v>32</v>
      </c>
      <c r="I34" s="40"/>
      <c r="J34" s="40"/>
      <c r="K34" s="18"/>
      <c r="L34" s="40" t="s">
        <v>33</v>
      </c>
      <c r="M34" s="40"/>
      <c r="N34" s="8"/>
      <c r="P34" t="s">
        <v>79</v>
      </c>
      <c r="T34" s="51">
        <v>5</v>
      </c>
    </row>
    <row r="35" spans="1:20" ht="12.75">
      <c r="A35" t="s">
        <v>34</v>
      </c>
      <c r="H35" s="30">
        <v>39562</v>
      </c>
      <c r="I35" s="40"/>
      <c r="J35" s="40"/>
      <c r="K35" s="18"/>
      <c r="L35" s="30">
        <v>39565</v>
      </c>
      <c r="M35" s="40"/>
      <c r="N35" s="8"/>
      <c r="P35" t="s">
        <v>80</v>
      </c>
      <c r="T35" s="49">
        <v>15</v>
      </c>
    </row>
    <row r="36" spans="14:20" ht="12.75">
      <c r="N36" s="31"/>
      <c r="P36" t="s">
        <v>81</v>
      </c>
      <c r="T36" s="52">
        <v>10</v>
      </c>
    </row>
    <row r="37" spans="1:14" ht="12.75">
      <c r="A37" s="4" t="s">
        <v>35</v>
      </c>
      <c r="B37" s="5"/>
      <c r="C37" s="5"/>
      <c r="D37" s="5"/>
      <c r="E37" s="5"/>
      <c r="F37" s="5"/>
      <c r="G37" s="5"/>
      <c r="H37" s="5"/>
      <c r="I37" s="5"/>
      <c r="J37" s="5"/>
      <c r="K37" s="5"/>
      <c r="L37" s="5"/>
      <c r="M37" s="5"/>
      <c r="N37" s="5"/>
    </row>
    <row r="38" ht="12.75">
      <c r="P38" s="41" t="s">
        <v>82</v>
      </c>
    </row>
    <row r="39" spans="4:20" ht="13.5" customHeight="1" thickBot="1">
      <c r="D39" s="7" t="str">
        <f>acq</f>
        <v>BuyerCo</v>
      </c>
      <c r="E39" s="32"/>
      <c r="F39" s="32"/>
      <c r="G39" s="32"/>
      <c r="H39" s="32"/>
      <c r="I39" s="32"/>
      <c r="J39" s="32"/>
      <c r="K39" s="32"/>
      <c r="L39" s="32"/>
      <c r="M39" s="32"/>
      <c r="N39" s="32"/>
      <c r="P39" t="s">
        <v>83</v>
      </c>
      <c r="T39" s="53">
        <f>'Buyer P&amp;L'!O46</f>
        <v>0.13768115942028988</v>
      </c>
    </row>
    <row r="40" spans="4:20" ht="12.75">
      <c r="D40" s="22" t="s">
        <v>36</v>
      </c>
      <c r="F40" s="22" t="s">
        <v>37</v>
      </c>
      <c r="H40" s="22" t="s">
        <v>38</v>
      </c>
      <c r="J40" s="22" t="s">
        <v>38</v>
      </c>
      <c r="L40" s="22" t="s">
        <v>38</v>
      </c>
      <c r="N40" s="22" t="s">
        <v>39</v>
      </c>
      <c r="P40" t="s">
        <v>84</v>
      </c>
      <c r="Q40" s="54"/>
      <c r="R40" s="54"/>
      <c r="S40" s="54"/>
      <c r="T40" s="42" t="s">
        <v>85</v>
      </c>
    </row>
    <row r="41" spans="4:20" ht="13.5" customHeight="1" thickBot="1">
      <c r="D41" s="21" t="s">
        <v>40</v>
      </c>
      <c r="F41" s="21" t="s">
        <v>41</v>
      </c>
      <c r="H41" s="21" t="s">
        <v>40</v>
      </c>
      <c r="J41" s="21" t="s">
        <v>42</v>
      </c>
      <c r="L41" s="21" t="s">
        <v>43</v>
      </c>
      <c r="N41" s="21" t="s">
        <v>44</v>
      </c>
      <c r="P41" t="s">
        <v>86</v>
      </c>
      <c r="Q41" s="54"/>
      <c r="R41" s="54"/>
      <c r="S41" s="54"/>
      <c r="T41" s="42" t="s">
        <v>67</v>
      </c>
    </row>
    <row r="42" spans="1:14" ht="12.75">
      <c r="A42" t="s">
        <v>45</v>
      </c>
      <c r="D42" s="12">
        <v>0.27</v>
      </c>
      <c r="F42" s="10">
        <v>2.31</v>
      </c>
      <c r="H42" s="14">
        <f>D42</f>
        <v>0.27</v>
      </c>
      <c r="J42" s="16">
        <f>F42*D42</f>
        <v>0.6237</v>
      </c>
      <c r="L42" s="33">
        <f aca="true" t="shared" si="0" ref="L42:L51">J42/H42</f>
        <v>2.31</v>
      </c>
      <c r="N42" s="14">
        <f aca="true" t="shared" si="1" ref="N42:N51">IF(F42&lt;acq_price,D42-D42*F42/acq_price,0)</f>
        <v>0.250355905511811</v>
      </c>
    </row>
    <row r="43" spans="1:14" ht="12.75">
      <c r="A43" t="s">
        <v>46</v>
      </c>
      <c r="D43" s="12">
        <v>1.548</v>
      </c>
      <c r="F43" s="34">
        <v>12.31</v>
      </c>
      <c r="H43" s="14">
        <f aca="true" t="shared" si="2" ref="H43:H51">H42+D43</f>
        <v>1.818</v>
      </c>
      <c r="J43" s="35">
        <f>SUMPRODUCT(F$42:F43,D$42:D43)</f>
        <v>19.67958</v>
      </c>
      <c r="L43" s="36">
        <f t="shared" si="0"/>
        <v>10.824851485148516</v>
      </c>
      <c r="N43" s="14">
        <f t="shared" si="1"/>
        <v>0.9478148031496063</v>
      </c>
    </row>
    <row r="44" spans="1:14" ht="12.75" customHeight="1">
      <c r="A44" t="s">
        <v>47</v>
      </c>
      <c r="D44" s="12">
        <v>2.855</v>
      </c>
      <c r="F44" s="34">
        <v>22</v>
      </c>
      <c r="H44" s="14">
        <f t="shared" si="2"/>
        <v>4.673</v>
      </c>
      <c r="J44" s="35">
        <f>SUMPRODUCT(F$42:F44,D$42:D44)</f>
        <v>82.48958</v>
      </c>
      <c r="L44" s="36">
        <f t="shared" si="0"/>
        <v>17.652381767601113</v>
      </c>
      <c r="N44" s="14">
        <f t="shared" si="1"/>
        <v>0.8767322834645668</v>
      </c>
    </row>
    <row r="45" spans="1:14" ht="12.75">
      <c r="A45" t="s">
        <v>48</v>
      </c>
      <c r="D45" s="12">
        <v>2.431</v>
      </c>
      <c r="F45" s="34">
        <v>25.07</v>
      </c>
      <c r="H45" s="14">
        <f t="shared" si="2"/>
        <v>7.104</v>
      </c>
      <c r="J45" s="35">
        <f>SUMPRODUCT(F$42:F45,D$42:D45)</f>
        <v>143.43475</v>
      </c>
      <c r="L45" s="36">
        <f t="shared" si="0"/>
        <v>20.19070242117117</v>
      </c>
      <c r="N45" s="14">
        <f t="shared" si="1"/>
        <v>0.5114670866141731</v>
      </c>
    </row>
    <row r="46" spans="1:14" ht="12.75">
      <c r="A46" t="s">
        <v>49</v>
      </c>
      <c r="D46" s="12">
        <v>2.182</v>
      </c>
      <c r="F46" s="34">
        <v>27.88</v>
      </c>
      <c r="H46" s="14">
        <f t="shared" si="2"/>
        <v>9.286</v>
      </c>
      <c r="J46" s="35">
        <f>SUMPRODUCT(F$42:F46,D$42:D46)</f>
        <v>204.26891</v>
      </c>
      <c r="L46" s="36">
        <f t="shared" si="0"/>
        <v>21.997513461124274</v>
      </c>
      <c r="N46" s="14">
        <f t="shared" si="1"/>
        <v>0.2659634645669291</v>
      </c>
    </row>
    <row r="47" spans="1:14" ht="12.75">
      <c r="A47" t="s">
        <v>50</v>
      </c>
      <c r="D47" s="12">
        <v>3.394</v>
      </c>
      <c r="F47" s="34">
        <v>31.31</v>
      </c>
      <c r="H47" s="14">
        <f t="shared" si="2"/>
        <v>12.68</v>
      </c>
      <c r="J47" s="35">
        <f>SUMPRODUCT(F$42:F47,D$42:D47)</f>
        <v>310.53505</v>
      </c>
      <c r="L47" s="36">
        <f t="shared" si="0"/>
        <v>24.49014589905363</v>
      </c>
      <c r="N47" s="14">
        <f t="shared" si="1"/>
        <v>0.04703496062992141</v>
      </c>
    </row>
    <row r="48" spans="1:14" ht="12.75">
      <c r="A48" t="s">
        <v>51</v>
      </c>
      <c r="D48" s="12">
        <v>2.678</v>
      </c>
      <c r="F48" s="34">
        <v>34.35</v>
      </c>
      <c r="H48" s="14">
        <f t="shared" si="2"/>
        <v>15.358</v>
      </c>
      <c r="J48" s="35">
        <f>SUMPRODUCT(F$42:F48,D$42:D48)</f>
        <v>402.52435</v>
      </c>
      <c r="L48" s="36">
        <f t="shared" si="0"/>
        <v>26.20942505534575</v>
      </c>
      <c r="N48" s="14">
        <f t="shared" si="1"/>
        <v>0</v>
      </c>
    </row>
    <row r="49" spans="1:14" ht="12.75">
      <c r="A49" t="s">
        <v>52</v>
      </c>
      <c r="D49" s="12">
        <v>2.138</v>
      </c>
      <c r="F49" s="34">
        <v>38.63</v>
      </c>
      <c r="H49" s="14">
        <f t="shared" si="2"/>
        <v>17.496000000000002</v>
      </c>
      <c r="J49" s="35">
        <f>SUMPRODUCT(F$42:F49,D$42:D49)</f>
        <v>485.11529</v>
      </c>
      <c r="L49" s="36">
        <f t="shared" si="0"/>
        <v>27.727211362597163</v>
      </c>
      <c r="N49" s="14">
        <f t="shared" si="1"/>
        <v>0</v>
      </c>
    </row>
    <row r="50" spans="1:14" ht="12.75">
      <c r="A50" t="s">
        <v>53</v>
      </c>
      <c r="D50" s="12">
        <v>2.631</v>
      </c>
      <c r="F50" s="34">
        <v>52.72</v>
      </c>
      <c r="H50" s="14">
        <f t="shared" si="2"/>
        <v>20.127000000000002</v>
      </c>
      <c r="J50" s="35">
        <f>SUMPRODUCT(F$42:F50,D$42:D50)</f>
        <v>623.82161</v>
      </c>
      <c r="L50" s="36">
        <f t="shared" si="0"/>
        <v>30.994266905152276</v>
      </c>
      <c r="N50" s="14">
        <f t="shared" si="1"/>
        <v>0</v>
      </c>
    </row>
    <row r="51" spans="1:14" ht="13.5" customHeight="1" thickBot="1">
      <c r="A51" t="s">
        <v>54</v>
      </c>
      <c r="D51" s="12">
        <v>0.329</v>
      </c>
      <c r="F51" s="34">
        <v>70</v>
      </c>
      <c r="H51" s="14">
        <f t="shared" si="2"/>
        <v>20.456000000000003</v>
      </c>
      <c r="J51" s="35">
        <f>SUMPRODUCT(F$42:F51,D$42:D51)</f>
        <v>646.8516099999999</v>
      </c>
      <c r="L51" s="36">
        <f t="shared" si="0"/>
        <v>31.62160784122017</v>
      </c>
      <c r="N51" s="14">
        <f t="shared" si="1"/>
        <v>0</v>
      </c>
    </row>
    <row r="52" spans="7:14" ht="12.75">
      <c r="G52" s="19"/>
      <c r="H52" s="19"/>
      <c r="I52" s="19"/>
      <c r="J52" s="19"/>
      <c r="K52" s="19"/>
      <c r="L52" s="37" t="s">
        <v>55</v>
      </c>
      <c r="M52" s="19"/>
      <c r="N52" s="38">
        <f>SUM(N42:N51)</f>
        <v>2.8993685039370076</v>
      </c>
    </row>
    <row r="54" spans="4:14" ht="13.5" customHeight="1" thickBot="1">
      <c r="D54" s="7" t="str">
        <f>tgt</f>
        <v>TargetCo</v>
      </c>
      <c r="E54" s="32"/>
      <c r="F54" s="32"/>
      <c r="G54" s="32"/>
      <c r="H54" s="32"/>
      <c r="I54" s="32"/>
      <c r="J54" s="32"/>
      <c r="K54" s="32"/>
      <c r="L54" s="32"/>
      <c r="M54" s="32"/>
      <c r="N54" s="32"/>
    </row>
    <row r="55" spans="4:14" ht="12.75">
      <c r="D55" s="39" t="s">
        <v>36</v>
      </c>
      <c r="F55" s="22" t="s">
        <v>37</v>
      </c>
      <c r="H55" s="22" t="s">
        <v>38</v>
      </c>
      <c r="J55" s="22" t="s">
        <v>38</v>
      </c>
      <c r="L55" s="22" t="s">
        <v>38</v>
      </c>
      <c r="N55" s="22" t="s">
        <v>39</v>
      </c>
    </row>
    <row r="56" spans="4:14" ht="13.5" customHeight="1" thickBot="1">
      <c r="D56" s="21" t="s">
        <v>40</v>
      </c>
      <c r="F56" s="21" t="s">
        <v>41</v>
      </c>
      <c r="H56" s="21" t="s">
        <v>40</v>
      </c>
      <c r="J56" s="21" t="s">
        <v>42</v>
      </c>
      <c r="L56" s="21" t="s">
        <v>43</v>
      </c>
      <c r="N56" s="21" t="s">
        <v>44</v>
      </c>
    </row>
    <row r="57" spans="1:14" ht="12.75">
      <c r="A57" t="s">
        <v>45</v>
      </c>
      <c r="D57" s="12">
        <v>0.209</v>
      </c>
      <c r="F57" s="10">
        <v>9.04</v>
      </c>
      <c r="H57" s="14">
        <f>D57</f>
        <v>0.209</v>
      </c>
      <c r="J57" s="16">
        <f>F57*D57</f>
        <v>1.8893599999999997</v>
      </c>
      <c r="L57" s="33">
        <f aca="true" t="shared" si="3" ref="L57:L66">J57/H57</f>
        <v>9.04</v>
      </c>
      <c r="N57" s="14">
        <f aca="true" t="shared" si="4" ref="N57:N66">IF(F57&lt;tgt_price,D57-D57*F57/tgt_price,0)</f>
        <v>0.0615089773614364</v>
      </c>
    </row>
    <row r="58" spans="1:14" ht="12.75">
      <c r="A58" t="s">
        <v>46</v>
      </c>
      <c r="D58" s="12">
        <v>0.059</v>
      </c>
      <c r="F58" s="34">
        <v>10.03</v>
      </c>
      <c r="H58" s="14">
        <f aca="true" t="shared" si="5" ref="H58:H66">H57+D58</f>
        <v>0.268</v>
      </c>
      <c r="J58" s="35">
        <f>SUMPRODUCT(F$57:F58,D$57:D58)</f>
        <v>2.4811299999999994</v>
      </c>
      <c r="L58" s="36">
        <f t="shared" si="3"/>
        <v>9.257947761194027</v>
      </c>
      <c r="N58" s="14">
        <f t="shared" si="4"/>
        <v>0.012804059328649496</v>
      </c>
    </row>
    <row r="59" spans="1:14" ht="12.75">
      <c r="A59" t="s">
        <v>47</v>
      </c>
      <c r="D59" s="12">
        <v>0.221</v>
      </c>
      <c r="F59" s="34">
        <v>11.53</v>
      </c>
      <c r="H59" s="14">
        <f t="shared" si="5"/>
        <v>0.489</v>
      </c>
      <c r="J59" s="35">
        <f>SUMPRODUCT(F$57:F59,D$57:D59)</f>
        <v>5.029259999999999</v>
      </c>
      <c r="L59" s="36">
        <f t="shared" si="3"/>
        <v>10.284785276073618</v>
      </c>
      <c r="N59" s="14">
        <f t="shared" si="4"/>
        <v>0.02208274785323966</v>
      </c>
    </row>
    <row r="60" spans="1:14" ht="12.75">
      <c r="A60" t="s">
        <v>48</v>
      </c>
      <c r="D60" s="12">
        <v>0.3</v>
      </c>
      <c r="F60" s="34">
        <v>12.69</v>
      </c>
      <c r="H60" s="14">
        <f t="shared" si="5"/>
        <v>0.7889999999999999</v>
      </c>
      <c r="J60" s="35">
        <f>SUMPRODUCT(F$57:F60,D$57:D60)</f>
        <v>8.83626</v>
      </c>
      <c r="L60" s="36">
        <f t="shared" si="3"/>
        <v>11.199315589353612</v>
      </c>
      <c r="N60" s="14">
        <f t="shared" si="4"/>
        <v>0.0028103044496487484</v>
      </c>
    </row>
    <row r="61" spans="1:14" ht="12.75">
      <c r="A61" t="s">
        <v>49</v>
      </c>
      <c r="D61" s="12">
        <v>0.269</v>
      </c>
      <c r="F61" s="34">
        <v>19.54</v>
      </c>
      <c r="H61" s="14">
        <f t="shared" si="5"/>
        <v>1.0579999999999998</v>
      </c>
      <c r="J61" s="35">
        <f>SUMPRODUCT(F$57:F61,D$57:D61)</f>
        <v>14.09252</v>
      </c>
      <c r="L61" s="36">
        <f t="shared" si="3"/>
        <v>13.319962192816638</v>
      </c>
      <c r="N61" s="14">
        <f t="shared" si="4"/>
        <v>0</v>
      </c>
    </row>
    <row r="62" spans="1:14" ht="12.75">
      <c r="A62" t="s">
        <v>50</v>
      </c>
      <c r="D62" s="12">
        <v>0.211</v>
      </c>
      <c r="F62" s="34">
        <v>27.06</v>
      </c>
      <c r="H62" s="14">
        <f t="shared" si="5"/>
        <v>1.269</v>
      </c>
      <c r="J62" s="35">
        <f>SUMPRODUCT(F$57:F62,D$57:D62)</f>
        <v>19.80218</v>
      </c>
      <c r="L62" s="36">
        <f t="shared" si="3"/>
        <v>15.604554767533491</v>
      </c>
      <c r="N62" s="14">
        <f t="shared" si="4"/>
        <v>0</v>
      </c>
    </row>
    <row r="63" spans="1:14" ht="12.75">
      <c r="A63" t="s">
        <v>51</v>
      </c>
      <c r="D63" s="12">
        <v>0.187</v>
      </c>
      <c r="F63" s="34">
        <v>45.75</v>
      </c>
      <c r="H63" s="14">
        <f t="shared" si="5"/>
        <v>1.456</v>
      </c>
      <c r="J63" s="35">
        <f>SUMPRODUCT(F$57:F63,D$57:D63)</f>
        <v>28.35743</v>
      </c>
      <c r="L63" s="36">
        <f t="shared" si="3"/>
        <v>19.47625686813187</v>
      </c>
      <c r="N63" s="14">
        <f t="shared" si="4"/>
        <v>0</v>
      </c>
    </row>
    <row r="64" spans="1:14" ht="12.75">
      <c r="A64" t="s">
        <v>52</v>
      </c>
      <c r="D64" s="12">
        <v>0</v>
      </c>
      <c r="F64" s="34">
        <v>0</v>
      </c>
      <c r="H64" s="14">
        <f t="shared" si="5"/>
        <v>1.456</v>
      </c>
      <c r="J64" s="35">
        <f>SUMPRODUCT(F$57:F64,D$57:D64)</f>
        <v>28.35743</v>
      </c>
      <c r="L64" s="36">
        <f t="shared" si="3"/>
        <v>19.47625686813187</v>
      </c>
      <c r="N64" s="14">
        <f t="shared" si="4"/>
        <v>0</v>
      </c>
    </row>
    <row r="65" spans="1:14" ht="12.75">
      <c r="A65" t="s">
        <v>53</v>
      </c>
      <c r="D65" s="12">
        <v>0</v>
      </c>
      <c r="F65" s="34">
        <v>0</v>
      </c>
      <c r="H65" s="14">
        <f t="shared" si="5"/>
        <v>1.456</v>
      </c>
      <c r="J65" s="35">
        <f>SUMPRODUCT(F$57:F65,D$57:D65)</f>
        <v>28.35743</v>
      </c>
      <c r="L65" s="36">
        <f t="shared" si="3"/>
        <v>19.47625686813187</v>
      </c>
      <c r="N65" s="14">
        <f t="shared" si="4"/>
        <v>0</v>
      </c>
    </row>
    <row r="66" spans="1:14" ht="13.5" customHeight="1" thickBot="1">
      <c r="A66" t="s">
        <v>54</v>
      </c>
      <c r="D66" s="12">
        <v>0</v>
      </c>
      <c r="F66" s="34">
        <v>0</v>
      </c>
      <c r="H66" s="14">
        <f t="shared" si="5"/>
        <v>1.456</v>
      </c>
      <c r="J66" s="35">
        <f>SUMPRODUCT(F$57:F66,D$57:D66)</f>
        <v>28.35743</v>
      </c>
      <c r="L66" s="36">
        <f t="shared" si="3"/>
        <v>19.47625686813187</v>
      </c>
      <c r="N66" s="14">
        <f t="shared" si="4"/>
        <v>0</v>
      </c>
    </row>
    <row r="67" spans="7:14" ht="12.75">
      <c r="G67" s="19"/>
      <c r="H67" s="19"/>
      <c r="I67" s="19"/>
      <c r="J67" s="19"/>
      <c r="K67" s="19"/>
      <c r="L67" s="37" t="s">
        <v>55</v>
      </c>
      <c r="M67" s="19"/>
      <c r="N67" s="38">
        <f>SUM(N57:N66)</f>
        <v>0.09920608899297431</v>
      </c>
    </row>
  </sheetData>
  <conditionalFormatting sqref="N29 L29 H29:J29 T28 T13">
    <cfRule type="cellIs" priority="1" dxfId="0" operator="greaterThan" stopIfTrue="1">
      <formula>1</formula>
    </cfRule>
    <cfRule type="cellIs" priority="2" dxfId="0" operator="between" stopIfTrue="1">
      <formula>0.00001</formula>
      <formula>0.99999</formula>
    </cfRule>
    <cfRule type="cellIs" priority="3" dxfId="0" operator="lessThan" stopIfTrue="1">
      <formula>0</formula>
    </cfRule>
  </conditionalFormatting>
  <dataValidations count="5">
    <dataValidation type="whole" allowBlank="1" showInputMessage="1" showErrorMessage="1" prompt="Please enter an integer between 1 and 7." errorTitle="ERROR" error="Please enter an integer between 1 and 7." sqref="T7">
      <formula1>1</formula1>
      <formula2>7</formula2>
    </dataValidation>
    <dataValidation type="whole" allowBlank="1" showInputMessage="1" showErrorMessage="1" sqref="T11:T12">
      <formula1>0</formula1>
      <formula2>1</formula2>
    </dataValidation>
    <dataValidation type="whole" allowBlank="1" showInputMessage="1" showErrorMessage="1" prompt="Enter either 0 or 1." errorTitle="ERROR" error="Enter either 0 or 1." sqref="T28 T13">
      <formula1>0</formula1>
      <formula2>1</formula2>
    </dataValidation>
    <dataValidation type="list" allowBlank="1" showInputMessage="1" showErrorMessage="1" sqref="T40">
      <formula1>"FY,CY"</formula1>
    </dataValidation>
    <dataValidation type="list" allowBlank="1" showInputMessage="1" showErrorMessage="1" sqref="T41">
      <formula1>"Cash,GAAP"</formula1>
    </dataValidation>
  </dataValidations>
  <printOptions/>
  <pageMargins left="0.75" right="0.75" top="1" bottom="1" header="0.5" footer="0.5"/>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Y40"/>
  <sheetViews>
    <sheetView showGridLines="0" zoomScale="90" zoomScaleNormal="90" workbookViewId="0" topLeftCell="A1">
      <selection activeCell="A1" sqref="A1"/>
    </sheetView>
  </sheetViews>
  <sheetFormatPr defaultColWidth="9.140625" defaultRowHeight="12.75"/>
  <cols>
    <col min="1" max="1" width="1.7109375" style="0" customWidth="1"/>
    <col min="5" max="5" width="9.28125" style="0" bestFit="1" customWidth="1"/>
    <col min="6" max="6" width="1.7109375" style="0" customWidth="1"/>
    <col min="7" max="7" width="9.28125" style="0" bestFit="1" customWidth="1"/>
    <col min="8" max="8" width="1.7109375" style="0" customWidth="1"/>
    <col min="9" max="9" width="9.28125" style="0" bestFit="1" customWidth="1"/>
    <col min="10" max="10" width="1.7109375" style="0" customWidth="1"/>
    <col min="11" max="11" width="9.28125" style="0" bestFit="1" customWidth="1"/>
    <col min="12" max="12" width="1.7109375" style="0" customWidth="1"/>
    <col min="13" max="13" width="9.28125" style="0" bestFit="1" customWidth="1"/>
    <col min="14" max="14" width="1.7109375" style="0" customWidth="1"/>
    <col min="15" max="15" width="9.28125" style="0" bestFit="1" customWidth="1"/>
    <col min="16" max="16" width="1.7109375" style="0" customWidth="1"/>
    <col min="17" max="17" width="9.28125" style="0" bestFit="1" customWidth="1"/>
    <col min="18" max="18" width="1.7109375" style="0" customWidth="1"/>
    <col min="19" max="19" width="9.28125" style="0" bestFit="1" customWidth="1"/>
    <col min="20" max="20" width="1.7109375" style="0" customWidth="1"/>
    <col min="21" max="21" width="9.28125" style="0" bestFit="1" customWidth="1"/>
    <col min="22" max="22" width="1.7109375" style="0" customWidth="1"/>
    <col min="23" max="23" width="9.421875" style="0" bestFit="1" customWidth="1"/>
    <col min="24" max="24" width="1.7109375" style="0" customWidth="1"/>
    <col min="25" max="25" width="9.28125" style="0" bestFit="1" customWidth="1"/>
  </cols>
  <sheetData>
    <row r="1" spans="1:25" ht="24" customHeight="1" thickBot="1">
      <c r="A1" s="1" t="s">
        <v>157</v>
      </c>
      <c r="B1" s="2"/>
      <c r="C1" s="2"/>
      <c r="D1" s="2"/>
      <c r="E1" s="2"/>
      <c r="F1" s="2"/>
      <c r="G1" s="2"/>
      <c r="H1" s="2"/>
      <c r="I1" s="2"/>
      <c r="J1" s="2"/>
      <c r="K1" s="2"/>
      <c r="L1" s="2"/>
      <c r="M1" s="2"/>
      <c r="N1" s="2"/>
      <c r="O1" s="2"/>
      <c r="P1" s="2"/>
      <c r="Q1" s="2"/>
      <c r="R1" s="2"/>
      <c r="S1" s="2"/>
      <c r="T1" s="2"/>
      <c r="U1" s="2"/>
      <c r="V1" s="2"/>
      <c r="W1" s="2"/>
      <c r="X1" s="2"/>
      <c r="Y1" s="2"/>
    </row>
    <row r="2" ht="12.75">
      <c r="A2" s="108" t="s">
        <v>1</v>
      </c>
    </row>
    <row r="3" spans="7:8" ht="12.75">
      <c r="G3" s="99"/>
      <c r="H3" s="99"/>
    </row>
    <row r="4" spans="7:23" ht="13.5" customHeight="1" thickBot="1">
      <c r="G4" s="124" t="str">
        <f>tgt</f>
        <v>TargetCo</v>
      </c>
      <c r="H4" s="99"/>
      <c r="I4" s="7" t="str">
        <f>"Transaction Prices Per "&amp;tgt&amp;" Share"</f>
        <v>Transaction Prices Per TargetCo Share</v>
      </c>
      <c r="J4" s="32"/>
      <c r="K4" s="32"/>
      <c r="L4" s="32"/>
      <c r="M4" s="32"/>
      <c r="N4" s="32"/>
      <c r="O4" s="32"/>
      <c r="P4" s="32"/>
      <c r="Q4" s="32"/>
      <c r="R4" s="32"/>
      <c r="S4" s="32"/>
      <c r="T4" s="32"/>
      <c r="U4" s="32"/>
      <c r="W4" s="124" t="str">
        <f>acq</f>
        <v>BuyerCo</v>
      </c>
    </row>
    <row r="5" spans="7:23" s="19" customFormat="1" ht="13.5" customHeight="1" thickBot="1">
      <c r="G5" s="125">
        <f>tgt_price</f>
        <v>12.81</v>
      </c>
      <c r="H5" s="126"/>
      <c r="I5" s="127">
        <f>K5-1</f>
        <v>12</v>
      </c>
      <c r="J5" s="128"/>
      <c r="K5" s="127">
        <f>ROUNDUP(G5,0)</f>
        <v>13</v>
      </c>
      <c r="L5" s="129"/>
      <c r="M5" s="127">
        <f>K5+1</f>
        <v>14</v>
      </c>
      <c r="N5" s="130"/>
      <c r="O5" s="127">
        <f>M5+1</f>
        <v>15</v>
      </c>
      <c r="P5" s="130"/>
      <c r="Q5" s="127">
        <f>O5+1</f>
        <v>16</v>
      </c>
      <c r="R5" s="131"/>
      <c r="S5" s="127">
        <f>Q5+1</f>
        <v>17</v>
      </c>
      <c r="U5" s="127">
        <f>S5+1</f>
        <v>18</v>
      </c>
      <c r="W5" s="132">
        <f>acq_price</f>
        <v>31.75</v>
      </c>
    </row>
    <row r="6" spans="7:23" ht="12.75">
      <c r="G6" s="133"/>
      <c r="W6" s="133"/>
    </row>
    <row r="7" spans="1:23" ht="12.75">
      <c r="A7" t="s">
        <v>158</v>
      </c>
      <c r="G7" s="134">
        <f>G5*Assumptions!$N$15</f>
        <v>447.35082</v>
      </c>
      <c r="I7" s="135">
        <f>I5*Assumptions!$N$15</f>
        <v>419.06399999999996</v>
      </c>
      <c r="K7" s="135">
        <f>K5*Assumptions!$N$15</f>
        <v>453.986</v>
      </c>
      <c r="M7" s="135">
        <f>M5*Assumptions!$N$15</f>
        <v>488.90799999999996</v>
      </c>
      <c r="O7" s="135">
        <f>O5*Assumptions!$N$15</f>
        <v>523.8299999999999</v>
      </c>
      <c r="Q7" s="135">
        <f>Q5*Assumptions!$N$15</f>
        <v>558.752</v>
      </c>
      <c r="S7" s="135">
        <f>S5*Assumptions!$N$15</f>
        <v>593.674</v>
      </c>
      <c r="U7" s="135">
        <f>U5*Assumptions!$N$15</f>
        <v>628.596</v>
      </c>
      <c r="W7" s="134">
        <f>W5*Assumptions!J15</f>
        <v>6573.837500000001</v>
      </c>
    </row>
    <row r="8" spans="1:23" ht="12.75">
      <c r="A8" t="s">
        <v>159</v>
      </c>
      <c r="G8" s="136">
        <f>VLOOKUP(G5,Assumptions!$F$57:$L$66,3)*(G5-VLOOKUP(G5,Assumptions!$F$57:$L$66,7))</f>
        <v>1.2708300000000008</v>
      </c>
      <c r="H8" s="137"/>
      <c r="I8" s="122">
        <f>VLOOKUP(I5,Assumptions!$F$57:$L$66,3)*(I5-VLOOKUP(I5,Assumptions!$F$57:$L$66,7))</f>
        <v>0.8387400000000006</v>
      </c>
      <c r="J8" s="137"/>
      <c r="K8" s="122">
        <f>VLOOKUP(K5,Assumptions!$F$57:$L$66,3)*(K5-VLOOKUP(K5,Assumptions!$F$57:$L$66,7))</f>
        <v>1.4207400000000003</v>
      </c>
      <c r="L8" s="137"/>
      <c r="M8" s="122">
        <f>VLOOKUP(M5,Assumptions!$F$57:$L$66,3)*(M5-VLOOKUP(M5,Assumptions!$F$57:$L$66,7))</f>
        <v>2.20974</v>
      </c>
      <c r="N8" s="137"/>
      <c r="O8" s="122">
        <f>VLOOKUP(O5,Assumptions!$F$57:$L$66,3)*(O5-VLOOKUP(O5,Assumptions!$F$57:$L$66,7))</f>
        <v>2.99874</v>
      </c>
      <c r="P8" s="137"/>
      <c r="Q8" s="122">
        <f>VLOOKUP(Q5,Assumptions!$F$57:$L$66,3)*(Q5-VLOOKUP(Q5,Assumptions!$F$57:$L$66,7))</f>
        <v>3.78774</v>
      </c>
      <c r="R8" s="137"/>
      <c r="S8" s="122">
        <f>VLOOKUP(S5,Assumptions!$F$57:$L$66,3)*(S5-VLOOKUP(S5,Assumptions!$F$57:$L$66,7))</f>
        <v>4.57674</v>
      </c>
      <c r="T8" s="137"/>
      <c r="U8" s="122">
        <f>VLOOKUP(U5,Assumptions!$F$57:$L$66,3)*(U5-VLOOKUP(U5,Assumptions!$F$57:$L$66,7))</f>
        <v>5.36574</v>
      </c>
      <c r="V8" s="137"/>
      <c r="W8" s="136">
        <f>VLOOKUP(W5,Assumptions!$F$42:$L$51,3)*(W5-VLOOKUP(W5,Assumptions!$F$42:$M$51,7))</f>
        <v>92.05494999999998</v>
      </c>
    </row>
    <row r="9" spans="1:23" ht="13.5" customHeight="1" thickBot="1">
      <c r="A9" t="s">
        <v>160</v>
      </c>
      <c r="G9" s="136">
        <f>IF(Assumptions!$L26&gt;G5,0,Assumptions!$L27*G5)+IF(Assumptions!$N26&gt;G5,0,Assumptions!$N27*G5)</f>
        <v>0</v>
      </c>
      <c r="I9" s="122">
        <f>IF(Assumptions!$L26&gt;I5,0,Assumptions!$L27*I5)+IF(Assumptions!$N26&gt;I5,0,Assumptions!$N27*I5)</f>
        <v>0</v>
      </c>
      <c r="K9" s="122">
        <f>IF(Assumptions!$L26&gt;K5,0,Assumptions!$L27*K5)+IF(Assumptions!$N26&gt;K5,0,Assumptions!$N27*K5)</f>
        <v>0</v>
      </c>
      <c r="M9" s="122">
        <f>IF(Assumptions!$L26&gt;M5,0,Assumptions!$L27*M5)+IF(Assumptions!$N26&gt;M5,0,Assumptions!$N27*M5)</f>
        <v>0</v>
      </c>
      <c r="O9" s="122">
        <f>IF(Assumptions!$L26&gt;O5,0,Assumptions!$L27*O5)+IF(Assumptions!$N26&gt;O5,0,Assumptions!$N27*O5)</f>
        <v>0</v>
      </c>
      <c r="Q9" s="122">
        <f>IF(Assumptions!$L26&gt;Q5,0,Assumptions!$L27*Q5)+IF(Assumptions!$N26&gt;Q5,0,Assumptions!$N27*Q5)</f>
        <v>0</v>
      </c>
      <c r="S9" s="122">
        <f>IF(Assumptions!$L26&gt;S5,0,Assumptions!$L27*S5)+IF(Assumptions!$N26&gt;S5,0,Assumptions!$N27*S5)</f>
        <v>0</v>
      </c>
      <c r="U9" s="122">
        <f>IF(Assumptions!$L26&gt;U5,0,Assumptions!$L27*U5)+IF(Assumptions!$N26&gt;U5,0,Assumptions!$N27*U5)</f>
        <v>0</v>
      </c>
      <c r="W9" s="136">
        <f>IF(Assumptions!H26&gt;W5,0,Assumptions!H27*W5)+IF(Assumptions!J26&gt;W5,0,Assumptions!J27*W5)</f>
        <v>0</v>
      </c>
    </row>
    <row r="10" spans="2:23" s="19" customFormat="1" ht="12.75">
      <c r="B10" s="19" t="s">
        <v>161</v>
      </c>
      <c r="G10" s="138">
        <f>SUM(G7:G9)</f>
        <v>448.62165</v>
      </c>
      <c r="I10" s="139">
        <f>SUM(I7:I9)</f>
        <v>419.90273999999994</v>
      </c>
      <c r="K10" s="139">
        <f>SUM(K7:K9)</f>
        <v>455.40674</v>
      </c>
      <c r="M10" s="139">
        <f>SUM(M7:M9)</f>
        <v>491.11773999999997</v>
      </c>
      <c r="O10" s="139">
        <f>SUM(O7:O9)</f>
        <v>526.8287399999999</v>
      </c>
      <c r="Q10" s="139">
        <f>SUM(Q7:Q9)</f>
        <v>562.5397399999999</v>
      </c>
      <c r="S10" s="139">
        <f>SUM(S7:S9)</f>
        <v>598.25074</v>
      </c>
      <c r="U10" s="139">
        <f>SUM(U7:U9)</f>
        <v>633.96174</v>
      </c>
      <c r="W10" s="140">
        <f>SUM(W7:W9)</f>
        <v>6665.89245</v>
      </c>
    </row>
    <row r="11" spans="1:23" ht="13.5" customHeight="1" thickBot="1">
      <c r="A11" t="s">
        <v>19</v>
      </c>
      <c r="G11" s="136">
        <f>'PF BS'!$K$31+'PF BS'!$K$34+'PF BS'!$K$35-'PF BS'!$K$8+IF(Assumptions!$L$26&gt;G5,Assumptions!$L$25,0)+IF(Assumptions!$N$26&gt;G5,Assumptions!$N$25,0)</f>
        <v>83.394</v>
      </c>
      <c r="I11" s="122">
        <f>'PF BS'!$K$31+'PF BS'!$K$34+'PF BS'!$K$35-'PF BS'!$K$8+IF(Assumptions!$L$26&gt;I5,Assumptions!$L$25,0)+IF(Assumptions!$N$26&gt;I5,Assumptions!$N$25,0)</f>
        <v>83.394</v>
      </c>
      <c r="J11" s="141"/>
      <c r="K11" s="122">
        <f>'PF BS'!$K$31+'PF BS'!$K$34+'PF BS'!$K$35-'PF BS'!$K$8+IF(Assumptions!$L$26&gt;K5,Assumptions!$L$25,0)+IF(Assumptions!$N$26&gt;K5,Assumptions!$N$25,0)</f>
        <v>83.394</v>
      </c>
      <c r="L11" s="141"/>
      <c r="M11" s="122">
        <f>'PF BS'!$K$31+'PF BS'!$K$34+'PF BS'!$K$35-'PF BS'!$K$8+IF(Assumptions!$L$26&gt;M5,Assumptions!$L$25,0)+IF(Assumptions!$N$26&gt;M5,Assumptions!$N$25,0)</f>
        <v>83.394</v>
      </c>
      <c r="N11" s="141"/>
      <c r="O11" s="122">
        <f>'PF BS'!$K$31+'PF BS'!$K$34+'PF BS'!$K$35-'PF BS'!$K$8+IF(Assumptions!$L$26&gt;O5,Assumptions!$L$25,0)+IF(Assumptions!$N$26&gt;O5,Assumptions!$N$25,0)</f>
        <v>83.394</v>
      </c>
      <c r="P11" s="141"/>
      <c r="Q11" s="122">
        <f>'PF BS'!$K$31+'PF BS'!$K$34+'PF BS'!$K$35-'PF BS'!$K$8+IF(Assumptions!$L$26&gt;Q5,Assumptions!$L$25,0)+IF(Assumptions!$N$26&gt;Q5,Assumptions!$N$25,0)</f>
        <v>83.394</v>
      </c>
      <c r="R11" s="141"/>
      <c r="S11" s="122">
        <f>'PF BS'!$K$31+'PF BS'!$K$34+'PF BS'!$K$35-'PF BS'!$K$8+IF(Assumptions!$L$26&gt;S5,Assumptions!$L$25,0)+IF(Assumptions!$N$26&gt;S5,Assumptions!$N$25,0)</f>
        <v>83.394</v>
      </c>
      <c r="T11" s="141"/>
      <c r="U11" s="122">
        <f>'PF BS'!$K$31+'PF BS'!$K$34+'PF BS'!$K$35-'PF BS'!$K$8+IF(Assumptions!$L$26&gt;U5,Assumptions!$L$25,0)+IF(Assumptions!$N$26&gt;U5,Assumptions!$N$25,0)</f>
        <v>83.394</v>
      </c>
      <c r="W11" s="136">
        <f>Assumptions!J21</f>
        <v>-729.619</v>
      </c>
    </row>
    <row r="12" spans="2:23" s="19" customFormat="1" ht="12.75">
      <c r="B12" s="19" t="s">
        <v>162</v>
      </c>
      <c r="G12" s="138">
        <f>SUM(G10:G11)</f>
        <v>532.01565</v>
      </c>
      <c r="I12" s="106">
        <f>SUM(I10:I11)</f>
        <v>503.29673999999994</v>
      </c>
      <c r="K12" s="106">
        <f>SUM(K10:K11)</f>
        <v>538.80074</v>
      </c>
      <c r="M12" s="106">
        <f>SUM(M10:M11)</f>
        <v>574.5117399999999</v>
      </c>
      <c r="O12" s="106">
        <f>SUM(O10:O11)</f>
        <v>610.2227399999999</v>
      </c>
      <c r="Q12" s="106">
        <f>SUM(Q10:Q11)</f>
        <v>645.93374</v>
      </c>
      <c r="S12" s="106">
        <f>SUM(S10:S11)</f>
        <v>681.64474</v>
      </c>
      <c r="U12" s="106">
        <f>SUM(U10:U11)</f>
        <v>717.35574</v>
      </c>
      <c r="W12" s="140">
        <f>SUM(W10:W11)</f>
        <v>5936.273450000001</v>
      </c>
    </row>
    <row r="13" spans="7:23" ht="12.75">
      <c r="G13" s="133"/>
      <c r="W13" s="133"/>
    </row>
    <row r="14" spans="1:25" ht="13.5" customHeight="1" thickBot="1">
      <c r="A14" s="19" t="s">
        <v>163</v>
      </c>
      <c r="E14" s="142" t="str">
        <f>tgt</f>
        <v>TargetCo</v>
      </c>
      <c r="G14" s="133"/>
      <c r="W14" s="143"/>
      <c r="Y14" s="142" t="str">
        <f>acq</f>
        <v>BuyerCo</v>
      </c>
    </row>
    <row r="15" spans="7:23" ht="4.5" customHeight="1">
      <c r="G15" s="133"/>
      <c r="W15" s="143"/>
    </row>
    <row r="16" spans="2:25" ht="12.75">
      <c r="B16" t="s">
        <v>11</v>
      </c>
      <c r="E16" s="33">
        <f>G5</f>
        <v>12.81</v>
      </c>
      <c r="G16" s="144">
        <f aca="true" t="shared" si="0" ref="G16:G22">G$5/$E16-1</f>
        <v>0</v>
      </c>
      <c r="I16" s="62">
        <f aca="true" t="shared" si="1" ref="I16:I22">I$5/$E16-1</f>
        <v>-0.06323185011709609</v>
      </c>
      <c r="K16" s="62">
        <f aca="true" t="shared" si="2" ref="K16:K22">K$5/$E16-1</f>
        <v>0.014832162373145996</v>
      </c>
      <c r="M16" s="62">
        <f aca="true" t="shared" si="3" ref="M16:M22">M$5/$E16-1</f>
        <v>0.09289617486338786</v>
      </c>
      <c r="O16" s="62">
        <f aca="true" t="shared" si="4" ref="O16:O22">O$5/$E16-1</f>
        <v>0.17096018735362994</v>
      </c>
      <c r="Q16" s="62">
        <f aca="true" t="shared" si="5" ref="Q16:Q22">Q$5/$E16-1</f>
        <v>0.24902419984387203</v>
      </c>
      <c r="S16" s="62">
        <f aca="true" t="shared" si="6" ref="S16:S22">S$5/$E16-1</f>
        <v>0.3270882123341139</v>
      </c>
      <c r="U16" s="62">
        <f aca="true" t="shared" si="7" ref="U16:U22">U$5/$E16-1</f>
        <v>0.405152224824356</v>
      </c>
      <c r="W16" s="144">
        <f aca="true" t="shared" si="8" ref="W16:W22">W$5/Y16-1</f>
        <v>0</v>
      </c>
      <c r="Y16" s="33">
        <f>W5</f>
        <v>31.75</v>
      </c>
    </row>
    <row r="17" spans="2:25" ht="12.75">
      <c r="B17" s="11" t="s">
        <v>12</v>
      </c>
      <c r="E17" s="145">
        <f>Assumptions!N12</f>
        <v>28.22</v>
      </c>
      <c r="G17" s="144">
        <f t="shared" si="0"/>
        <v>-0.5460666194188518</v>
      </c>
      <c r="I17" s="62">
        <f t="shared" si="1"/>
        <v>-0.5747696669029057</v>
      </c>
      <c r="K17" s="62">
        <f t="shared" si="2"/>
        <v>-0.5393338058114812</v>
      </c>
      <c r="M17" s="62">
        <f t="shared" si="3"/>
        <v>-0.5038979447200567</v>
      </c>
      <c r="O17" s="62">
        <f t="shared" si="4"/>
        <v>-0.4684620836286322</v>
      </c>
      <c r="Q17" s="62">
        <f t="shared" si="5"/>
        <v>-0.4330262225372077</v>
      </c>
      <c r="S17" s="62">
        <f t="shared" si="6"/>
        <v>-0.3975903614457831</v>
      </c>
      <c r="U17" s="62">
        <f t="shared" si="7"/>
        <v>-0.3621545003543586</v>
      </c>
      <c r="W17" s="144">
        <f t="shared" si="8"/>
        <v>-0.21333002973240833</v>
      </c>
      <c r="Y17" s="145">
        <f>Assumptions!J12</f>
        <v>40.36</v>
      </c>
    </row>
    <row r="18" spans="2:25" ht="12.75">
      <c r="B18" s="11" t="s">
        <v>13</v>
      </c>
      <c r="E18" s="145">
        <f>Assumptions!N13</f>
        <v>10.49</v>
      </c>
      <c r="G18" s="144">
        <f t="shared" si="0"/>
        <v>0.22116301239275504</v>
      </c>
      <c r="I18" s="62">
        <f t="shared" si="1"/>
        <v>0.14394661582459478</v>
      </c>
      <c r="K18" s="62">
        <f t="shared" si="2"/>
        <v>0.23927550047664448</v>
      </c>
      <c r="M18" s="62">
        <f t="shared" si="3"/>
        <v>0.33460438512869395</v>
      </c>
      <c r="O18" s="62">
        <f t="shared" si="4"/>
        <v>0.42993326978074364</v>
      </c>
      <c r="Q18" s="62">
        <f t="shared" si="5"/>
        <v>0.5252621544327931</v>
      </c>
      <c r="S18" s="62">
        <f t="shared" si="6"/>
        <v>0.6205910390848426</v>
      </c>
      <c r="U18" s="62">
        <f t="shared" si="7"/>
        <v>0.7159199237368923</v>
      </c>
      <c r="W18" s="144">
        <f t="shared" si="8"/>
        <v>0.16813833701250913</v>
      </c>
      <c r="Y18" s="145">
        <f>Assumptions!J13</f>
        <v>27.18</v>
      </c>
    </row>
    <row r="19" spans="2:25" ht="12.75">
      <c r="B19" t="s">
        <v>164</v>
      </c>
      <c r="E19" s="34">
        <v>12.64</v>
      </c>
      <c r="G19" s="144">
        <f t="shared" si="0"/>
        <v>0.013449367088607556</v>
      </c>
      <c r="I19" s="62">
        <f t="shared" si="1"/>
        <v>-0.05063291139240511</v>
      </c>
      <c r="K19" s="62">
        <f t="shared" si="2"/>
        <v>0.028481012658227778</v>
      </c>
      <c r="M19" s="62">
        <f t="shared" si="3"/>
        <v>0.10759493670886067</v>
      </c>
      <c r="O19" s="62">
        <f t="shared" si="4"/>
        <v>0.18670886075949356</v>
      </c>
      <c r="Q19" s="62">
        <f t="shared" si="5"/>
        <v>0.26582278481012644</v>
      </c>
      <c r="S19" s="62">
        <f t="shared" si="6"/>
        <v>0.34493670886075933</v>
      </c>
      <c r="U19" s="62">
        <f t="shared" si="7"/>
        <v>0.42405063291139244</v>
      </c>
      <c r="W19" s="144">
        <f t="shared" si="8"/>
        <v>-0.005325814536340956</v>
      </c>
      <c r="Y19" s="34">
        <v>31.92</v>
      </c>
    </row>
    <row r="20" spans="2:25" ht="12.75">
      <c r="B20" t="s">
        <v>165</v>
      </c>
      <c r="E20" s="34">
        <v>12.12</v>
      </c>
      <c r="G20" s="144">
        <f t="shared" si="0"/>
        <v>0.05693069306930698</v>
      </c>
      <c r="I20" s="62">
        <f t="shared" si="1"/>
        <v>-0.009900990099009799</v>
      </c>
      <c r="K20" s="62">
        <f t="shared" si="2"/>
        <v>0.0726072607260726</v>
      </c>
      <c r="M20" s="62">
        <f t="shared" si="3"/>
        <v>0.1551155115511551</v>
      </c>
      <c r="O20" s="62">
        <f t="shared" si="4"/>
        <v>0.2376237623762376</v>
      </c>
      <c r="Q20" s="62">
        <f t="shared" si="5"/>
        <v>0.3201320132013201</v>
      </c>
      <c r="S20" s="62">
        <f t="shared" si="6"/>
        <v>0.40264026402640263</v>
      </c>
      <c r="U20" s="62">
        <f t="shared" si="7"/>
        <v>0.48514851485148514</v>
      </c>
      <c r="W20" s="144">
        <f t="shared" si="8"/>
        <v>0.038939790575916344</v>
      </c>
      <c r="Y20" s="34">
        <v>30.56</v>
      </c>
    </row>
    <row r="21" spans="2:25" ht="12.75">
      <c r="B21" t="s">
        <v>166</v>
      </c>
      <c r="E21" s="34">
        <v>11.71</v>
      </c>
      <c r="G21" s="144">
        <f t="shared" si="0"/>
        <v>0.09393680614859101</v>
      </c>
      <c r="I21" s="62">
        <f t="shared" si="1"/>
        <v>0.024765157984628416</v>
      </c>
      <c r="K21" s="62">
        <f t="shared" si="2"/>
        <v>0.11016225448334738</v>
      </c>
      <c r="M21" s="62">
        <f t="shared" si="3"/>
        <v>0.19555935098206656</v>
      </c>
      <c r="O21" s="62">
        <f t="shared" si="4"/>
        <v>0.2809564474807855</v>
      </c>
      <c r="Q21" s="62">
        <f t="shared" si="5"/>
        <v>0.3663535439795047</v>
      </c>
      <c r="S21" s="62">
        <f t="shared" si="6"/>
        <v>0.45175064047822366</v>
      </c>
      <c r="U21" s="62">
        <f t="shared" si="7"/>
        <v>0.5371477369769426</v>
      </c>
      <c r="W21" s="144">
        <f t="shared" si="8"/>
        <v>0.05692410119840208</v>
      </c>
      <c r="Y21" s="34">
        <v>30.04</v>
      </c>
    </row>
    <row r="22" spans="2:25" ht="12.75">
      <c r="B22" t="s">
        <v>167</v>
      </c>
      <c r="E22" s="34">
        <v>12.03</v>
      </c>
      <c r="G22" s="144">
        <f t="shared" si="0"/>
        <v>0.06483790523690791</v>
      </c>
      <c r="I22" s="62">
        <f t="shared" si="1"/>
        <v>-0.0024937655860348684</v>
      </c>
      <c r="K22" s="62">
        <f t="shared" si="2"/>
        <v>0.08063175394846223</v>
      </c>
      <c r="M22" s="62">
        <f t="shared" si="3"/>
        <v>0.16375727348295932</v>
      </c>
      <c r="O22" s="62">
        <f t="shared" si="4"/>
        <v>0.24688279301745641</v>
      </c>
      <c r="Q22" s="62">
        <f t="shared" si="5"/>
        <v>0.3300083125519535</v>
      </c>
      <c r="S22" s="62">
        <f t="shared" si="6"/>
        <v>0.4131338320864506</v>
      </c>
      <c r="U22" s="62">
        <f t="shared" si="7"/>
        <v>0.4962593516209477</v>
      </c>
      <c r="W22" s="144">
        <f t="shared" si="8"/>
        <v>0.031849203769905854</v>
      </c>
      <c r="Y22" s="34">
        <v>30.77</v>
      </c>
    </row>
    <row r="23" spans="7:23" ht="4.5" customHeight="1">
      <c r="G23" s="133"/>
      <c r="W23" s="133"/>
    </row>
    <row r="24" spans="1:23" ht="12.75">
      <c r="A24" s="19" t="s">
        <v>168</v>
      </c>
      <c r="G24" s="133"/>
      <c r="W24" s="133"/>
    </row>
    <row r="25" spans="1:23" ht="4.5" customHeight="1">
      <c r="A25" s="19"/>
      <c r="G25" s="133"/>
      <c r="W25" s="133"/>
    </row>
    <row r="26" spans="2:25" ht="12.75">
      <c r="B26" t="str">
        <f>year&amp;" "&amp;'Buyer P&amp;L'!$M$5&amp;"P Revenue"</f>
        <v>FY 2008P Revenue</v>
      </c>
      <c r="E26" s="135">
        <f>'Target P&amp;L'!M7</f>
        <v>458.1</v>
      </c>
      <c r="G26" s="146">
        <f>G$12/$E26</f>
        <v>1.161352652259332</v>
      </c>
      <c r="I26" s="147">
        <f>I$12/$E26</f>
        <v>1.0986612966601177</v>
      </c>
      <c r="K26" s="147">
        <f>K$12/$E26</f>
        <v>1.176164025321982</v>
      </c>
      <c r="M26" s="147">
        <f>M$12/$E26</f>
        <v>1.2541186203885613</v>
      </c>
      <c r="O26" s="147">
        <f>O$12/$E26</f>
        <v>1.3320732154551407</v>
      </c>
      <c r="Q26" s="147">
        <f>Q$12/$E26</f>
        <v>1.4100278105217199</v>
      </c>
      <c r="S26" s="147">
        <f>S$12/$E26</f>
        <v>1.4879824055882993</v>
      </c>
      <c r="U26" s="147">
        <f>U$12/$E26</f>
        <v>1.5659370006548787</v>
      </c>
      <c r="W26" s="146">
        <f>W$12/Y26</f>
        <v>1.902651746794872</v>
      </c>
      <c r="Y26" s="135">
        <f>'Buyer P&amp;L'!M7</f>
        <v>3120</v>
      </c>
    </row>
    <row r="27" spans="2:25" ht="12.75">
      <c r="B27" t="str">
        <f>year&amp;" "&amp;'Buyer P&amp;L'!$O$5&amp;"P Revenue"</f>
        <v>FY 2009P Revenue</v>
      </c>
      <c r="E27" s="122">
        <f>'Target P&amp;L'!O7</f>
        <v>468</v>
      </c>
      <c r="G27" s="146">
        <f>G$12/$E27</f>
        <v>1.136785576923077</v>
      </c>
      <c r="I27" s="147">
        <f>I$12/$E27</f>
        <v>1.0754203846153845</v>
      </c>
      <c r="K27" s="147">
        <f>K$12/$E27</f>
        <v>1.1512836324786324</v>
      </c>
      <c r="M27" s="147">
        <f>M$12/$E27</f>
        <v>1.2275891880341878</v>
      </c>
      <c r="O27" s="147">
        <f>O$12/$E27</f>
        <v>1.3038947435897434</v>
      </c>
      <c r="Q27" s="147">
        <f>Q$12/$E27</f>
        <v>1.380200299145299</v>
      </c>
      <c r="S27" s="147">
        <f>S$12/$E27</f>
        <v>1.4565058547008547</v>
      </c>
      <c r="U27" s="147">
        <f>U$12/$E27</f>
        <v>1.53281141025641</v>
      </c>
      <c r="W27" s="146">
        <f>W$12/Y27</f>
        <v>1.710741628242075</v>
      </c>
      <c r="Y27" s="122">
        <f>'Buyer P&amp;L'!O7</f>
        <v>3470</v>
      </c>
    </row>
    <row r="28" spans="2:25" ht="12.75">
      <c r="B28" t="str">
        <f>year&amp;" "&amp;'Buyer P&amp;L'!$Q$5&amp;"P Revenue"</f>
        <v>FY 2010P Revenue</v>
      </c>
      <c r="E28" s="122">
        <f>'Target P&amp;L'!Q7</f>
        <v>470.5</v>
      </c>
      <c r="G28" s="146">
        <f>G$12/$E28</f>
        <v>1.1307452709883103</v>
      </c>
      <c r="I28" s="147">
        <f>I$12/$E28</f>
        <v>1.0697061424017003</v>
      </c>
      <c r="K28" s="147">
        <f>K$12/$E28</f>
        <v>1.1451662911795961</v>
      </c>
      <c r="M28" s="147">
        <f>M$12/$E28</f>
        <v>1.2210663974495215</v>
      </c>
      <c r="O28" s="147">
        <f>O$12/$E28</f>
        <v>1.2969665037194473</v>
      </c>
      <c r="Q28" s="147">
        <f>Q$12/$E28</f>
        <v>1.372866609989373</v>
      </c>
      <c r="S28" s="147">
        <f>S$12/$E28</f>
        <v>1.4487667162592985</v>
      </c>
      <c r="U28" s="147">
        <f>U$12/$E28</f>
        <v>1.5246668225292241</v>
      </c>
      <c r="W28" s="146">
        <f>W$12/Y28</f>
        <v>1.539490002593361</v>
      </c>
      <c r="Y28" s="122">
        <f>'Buyer P&amp;L'!Q7</f>
        <v>3856</v>
      </c>
    </row>
    <row r="29" spans="7:23" ht="4.5" customHeight="1">
      <c r="G29" s="133"/>
      <c r="W29" s="133"/>
    </row>
    <row r="30" spans="2:25" ht="12.75">
      <c r="B30" t="str">
        <f>year&amp;" "&amp;'Buyer P&amp;L'!$M$5&amp;"P EBITDA"</f>
        <v>FY 2008P EBITDA</v>
      </c>
      <c r="E30" s="135">
        <f>'Target P&amp;L'!M19</f>
        <v>130.20000000000005</v>
      </c>
      <c r="G30" s="148">
        <f>G$12/$E30</f>
        <v>4.0861417050691236</v>
      </c>
      <c r="I30" s="149">
        <f>I$12/$E30</f>
        <v>3.8655663594470027</v>
      </c>
      <c r="K30" s="149">
        <f>K$12/$E30</f>
        <v>4.138254531490014</v>
      </c>
      <c r="M30" s="149">
        <f>M$12/$E30</f>
        <v>4.412532565284176</v>
      </c>
      <c r="O30" s="149">
        <f>O$12/$E30</f>
        <v>4.686810599078338</v>
      </c>
      <c r="Q30" s="149">
        <f>Q$12/$E30</f>
        <v>4.961088632872501</v>
      </c>
      <c r="S30" s="149">
        <f>S$12/$E30</f>
        <v>5.235366666666664</v>
      </c>
      <c r="U30" s="149">
        <f>U$12/$E30</f>
        <v>5.509644700460828</v>
      </c>
      <c r="W30" s="148">
        <f>W$12/Y30</f>
        <v>8.887967435244798</v>
      </c>
      <c r="Y30" s="135">
        <f>'Buyer P&amp;L'!M19</f>
        <v>667.9</v>
      </c>
    </row>
    <row r="31" spans="2:25" ht="12.75">
      <c r="B31" t="str">
        <f>year&amp;" "&amp;'Buyer P&amp;L'!$O$5&amp;"P EBITDA"</f>
        <v>FY 2009P EBITDA</v>
      </c>
      <c r="E31" s="122">
        <f>'Target P&amp;L'!O19</f>
        <v>126.49999999999999</v>
      </c>
      <c r="G31" s="148">
        <f>G$12/$E31</f>
        <v>4.205657312252965</v>
      </c>
      <c r="I31" s="149">
        <f>I$12/$E31</f>
        <v>3.9786303557312253</v>
      </c>
      <c r="K31" s="149">
        <f>K$12/$E31</f>
        <v>4.25929438735178</v>
      </c>
      <c r="M31" s="149">
        <f>M$12/$E31</f>
        <v>4.541594782608695</v>
      </c>
      <c r="O31" s="149">
        <f>O$12/$E31</f>
        <v>4.823895177865612</v>
      </c>
      <c r="Q31" s="149">
        <f>Q$12/$E31</f>
        <v>5.1061955731225295</v>
      </c>
      <c r="S31" s="149">
        <f>S$12/$E31</f>
        <v>5.388495968379447</v>
      </c>
      <c r="U31" s="149">
        <f>U$12/$E31</f>
        <v>5.670796363636364</v>
      </c>
      <c r="W31" s="148">
        <f>W$12/Y31</f>
        <v>8.085362912013077</v>
      </c>
      <c r="Y31" s="122">
        <f>'Buyer P&amp;L'!O19</f>
        <v>734.2</v>
      </c>
    </row>
    <row r="32" spans="2:25" ht="12.75">
      <c r="B32" t="str">
        <f>year&amp;" "&amp;'Buyer P&amp;L'!$Q$5&amp;"P EBITDA"</f>
        <v>FY 2010P EBITDA</v>
      </c>
      <c r="E32" s="122">
        <f>'Target P&amp;L'!Q19</f>
        <v>125.9</v>
      </c>
      <c r="G32" s="148">
        <f>G$12/$E32</f>
        <v>4.2257001588562355</v>
      </c>
      <c r="I32" s="149">
        <f>I$12/$E32</f>
        <v>3.9975912629070685</v>
      </c>
      <c r="K32" s="149">
        <f>K$12/$E32</f>
        <v>4.27959285146942</v>
      </c>
      <c r="M32" s="149">
        <f>M$12/$E32</f>
        <v>4.56323860206513</v>
      </c>
      <c r="O32" s="149">
        <f>O$12/$E32</f>
        <v>4.846884352660841</v>
      </c>
      <c r="Q32" s="149">
        <f>Q$12/$E32</f>
        <v>5.130530103256552</v>
      </c>
      <c r="S32" s="149">
        <f>S$12/$E32</f>
        <v>5.414175853852263</v>
      </c>
      <c r="U32" s="149">
        <f>U$12/$E32</f>
        <v>5.697821604447974</v>
      </c>
      <c r="W32" s="148">
        <f>W$12/Y32</f>
        <v>7.128946139065692</v>
      </c>
      <c r="Y32" s="122">
        <f>'Buyer P&amp;L'!Q19</f>
        <v>832.6999999999998</v>
      </c>
    </row>
    <row r="33" spans="7:23" ht="4.5" customHeight="1">
      <c r="G33" s="133"/>
      <c r="I33" s="149"/>
      <c r="K33" s="149"/>
      <c r="M33" s="149"/>
      <c r="O33" s="149"/>
      <c r="Q33" s="149"/>
      <c r="S33" s="149"/>
      <c r="U33" s="149"/>
      <c r="W33" s="133"/>
    </row>
    <row r="34" spans="2:25" ht="12.75">
      <c r="B34" t="str">
        <f>year&amp;" "&amp;'Buyer P&amp;L'!$M$5&amp;"P EBITA"</f>
        <v>FY 2008P EBITA</v>
      </c>
      <c r="E34" s="135">
        <f>'Target P&amp;L'!M35</f>
        <v>116.10000000000004</v>
      </c>
      <c r="G34" s="148">
        <f>G$12/$E34</f>
        <v>4.582391472868216</v>
      </c>
      <c r="I34" s="149">
        <f>I$12/$E34</f>
        <v>4.335027906976742</v>
      </c>
      <c r="K34" s="149">
        <f>K$12/$E34</f>
        <v>4.640833247200688</v>
      </c>
      <c r="M34" s="149">
        <f>M$12/$E34</f>
        <v>4.948421533161066</v>
      </c>
      <c r="O34" s="149">
        <f>O$12/$E34</f>
        <v>5.256009819121445</v>
      </c>
      <c r="Q34" s="149">
        <f>Q$12/$E34</f>
        <v>5.563598105081824</v>
      </c>
      <c r="S34" s="149">
        <f>S$12/$E34</f>
        <v>5.871186391042203</v>
      </c>
      <c r="U34" s="149">
        <f>U$12/$E34</f>
        <v>6.178774677002582</v>
      </c>
      <c r="W34" s="148">
        <f>W$12/Y34</f>
        <v>10.617552226793062</v>
      </c>
      <c r="Y34" s="135">
        <f>'Buyer P&amp;L'!M35</f>
        <v>559.0999999999999</v>
      </c>
    </row>
    <row r="35" spans="2:25" ht="12.75">
      <c r="B35" t="str">
        <f>year&amp;" "&amp;'Buyer P&amp;L'!$O$5&amp;"P EBITA"</f>
        <v>FY 2009P EBITA</v>
      </c>
      <c r="E35" s="122">
        <f>'Target P&amp;L'!O35</f>
        <v>112.39999999999998</v>
      </c>
      <c r="G35" s="148">
        <f>G$12/$E35</f>
        <v>4.733235320284699</v>
      </c>
      <c r="I35" s="149">
        <f>I$12/$E35</f>
        <v>4.47772900355872</v>
      </c>
      <c r="K35" s="149">
        <f>K$12/$E35</f>
        <v>4.793600889679716</v>
      </c>
      <c r="M35" s="149">
        <f>M$12/$E35</f>
        <v>5.111314412811388</v>
      </c>
      <c r="O35" s="149">
        <f>O$12/$E35</f>
        <v>5.429027935943061</v>
      </c>
      <c r="Q35" s="149">
        <f>Q$12/$E35</f>
        <v>5.746741459074734</v>
      </c>
      <c r="S35" s="149">
        <f>S$12/$E35</f>
        <v>6.064454982206406</v>
      </c>
      <c r="U35" s="149">
        <f>U$12/$E35</f>
        <v>6.382168505338079</v>
      </c>
      <c r="W35" s="148">
        <f>W$12/Y35</f>
        <v>9.001172782410919</v>
      </c>
      <c r="Y35" s="122">
        <f>'Buyer P&amp;L'!O35</f>
        <v>659.5</v>
      </c>
    </row>
    <row r="36" spans="2:25" ht="12.75">
      <c r="B36" t="str">
        <f>year&amp;" "&amp;'Buyer P&amp;L'!$Q$5&amp;"P EBITA"</f>
        <v>FY 2010P EBITA</v>
      </c>
      <c r="E36" s="122">
        <f>'Target P&amp;L'!Q35</f>
        <v>111.80000000000001</v>
      </c>
      <c r="G36" s="148">
        <f>G$12/$E36</f>
        <v>4.758637298747764</v>
      </c>
      <c r="I36" s="149">
        <f>I$12/$E36</f>
        <v>4.501759749552772</v>
      </c>
      <c r="K36" s="149">
        <f>K$12/$E36</f>
        <v>4.819326833631484</v>
      </c>
      <c r="M36" s="149">
        <f>M$12/$E36</f>
        <v>5.138745438282647</v>
      </c>
      <c r="O36" s="149">
        <f>O$12/$E36</f>
        <v>5.458164042933809</v>
      </c>
      <c r="Q36" s="149">
        <f>Q$12/$E36</f>
        <v>5.777582647584972</v>
      </c>
      <c r="S36" s="149">
        <f>S$12/$E36</f>
        <v>6.097001252236135</v>
      </c>
      <c r="U36" s="149">
        <f>U$12/$E36</f>
        <v>6.416419856887297</v>
      </c>
      <c r="W36" s="148">
        <f>W$12/Y36</f>
        <v>7.943628328649808</v>
      </c>
      <c r="Y36" s="122">
        <f>'Buyer P&amp;L'!Q35</f>
        <v>747.2999999999998</v>
      </c>
    </row>
    <row r="37" spans="7:23" ht="4.5" customHeight="1">
      <c r="G37" s="133"/>
      <c r="I37" s="149"/>
      <c r="K37" s="149"/>
      <c r="M37" s="149"/>
      <c r="O37" s="149"/>
      <c r="Q37" s="149"/>
      <c r="S37" s="149"/>
      <c r="U37" s="149"/>
      <c r="W37" s="133"/>
    </row>
    <row r="38" spans="2:25" ht="12.75">
      <c r="B38" t="str">
        <f>year&amp;" "&amp;'Buyer P&amp;L'!$M$5&amp;"P Cash P/E"</f>
        <v>FY 2008P Cash P/E</v>
      </c>
      <c r="E38" s="150">
        <f>'Target P&amp;L'!M51</f>
        <v>2.8480453460807023</v>
      </c>
      <c r="G38" s="148">
        <f>G$5/$E38</f>
        <v>4.497821643755884</v>
      </c>
      <c r="I38" s="149">
        <f>I$5/$E38</f>
        <v>4.213416059724482</v>
      </c>
      <c r="J38" s="149"/>
      <c r="K38" s="149">
        <f>K$5/$E38</f>
        <v>4.564534064701522</v>
      </c>
      <c r="L38" s="149"/>
      <c r="M38" s="149">
        <f>M$5/$E38</f>
        <v>4.915652069678562</v>
      </c>
      <c r="N38" s="149"/>
      <c r="O38" s="149">
        <f>O$5/$E38</f>
        <v>5.266770074655602</v>
      </c>
      <c r="P38" s="149"/>
      <c r="Q38" s="149">
        <f>Q$5/$E38</f>
        <v>5.6178880796326425</v>
      </c>
      <c r="R38" s="149"/>
      <c r="S38" s="149">
        <f>S$5/$E38</f>
        <v>5.969006084609682</v>
      </c>
      <c r="T38" s="149"/>
      <c r="U38" s="149">
        <f>U$5/$E38</f>
        <v>6.320124089586723</v>
      </c>
      <c r="W38" s="148">
        <f>W$5/Y38</f>
        <v>13.596539318225842</v>
      </c>
      <c r="Y38" s="117">
        <f>'Buyer P&amp;L'!M51</f>
        <v>2.3351530309951642</v>
      </c>
    </row>
    <row r="39" spans="2:25" ht="12.75">
      <c r="B39" t="str">
        <f>year&amp;" "&amp;'Buyer P&amp;L'!$O$5&amp;"P Cash P/E"</f>
        <v>FY 2009P Cash P/E</v>
      </c>
      <c r="E39" s="151">
        <f>'Target P&amp;L'!O51</f>
        <v>2.6496620470519248</v>
      </c>
      <c r="G39" s="148">
        <f>G$5/$E39</f>
        <v>4.8345788151559566</v>
      </c>
      <c r="I39" s="149">
        <f>I$5/$E39</f>
        <v>4.528879452136727</v>
      </c>
      <c r="J39" s="149"/>
      <c r="K39" s="149">
        <f>K$5/$E39</f>
        <v>4.906286073148121</v>
      </c>
      <c r="L39" s="149"/>
      <c r="M39" s="149">
        <f>M$5/$E39</f>
        <v>5.283692694159515</v>
      </c>
      <c r="N39" s="149"/>
      <c r="O39" s="149">
        <f>O$5/$E39</f>
        <v>5.661099315170909</v>
      </c>
      <c r="P39" s="149"/>
      <c r="Q39" s="149">
        <f>Q$5/$E39</f>
        <v>6.038505936182303</v>
      </c>
      <c r="R39" s="149"/>
      <c r="S39" s="149">
        <f>S$5/$E39</f>
        <v>6.415912557193697</v>
      </c>
      <c r="T39" s="149"/>
      <c r="U39" s="149">
        <f>U$5/$E39</f>
        <v>6.793319178205091</v>
      </c>
      <c r="W39" s="148">
        <f>W$5/Y39</f>
        <v>11.733531883341572</v>
      </c>
      <c r="Y39" s="145">
        <f>'Buyer P&amp;L'!O51</f>
        <v>2.705920119846981</v>
      </c>
    </row>
    <row r="40" spans="2:25" ht="12.75">
      <c r="B40" t="str">
        <f>year&amp;" "&amp;'Buyer P&amp;L'!$Q$5&amp;"P Cash P/E"</f>
        <v>FY 2010P Cash P/E</v>
      </c>
      <c r="E40" s="151">
        <f>'Target P&amp;L'!Q51</f>
        <v>2.6354791665925914</v>
      </c>
      <c r="G40" s="152">
        <f>G$5/$E40</f>
        <v>4.860596191531287</v>
      </c>
      <c r="I40" s="149">
        <f>I$5/$E40</f>
        <v>4.553251701668653</v>
      </c>
      <c r="J40" s="149"/>
      <c r="K40" s="149">
        <f>K$5/$E40</f>
        <v>4.932689343474374</v>
      </c>
      <c r="L40" s="149"/>
      <c r="M40" s="149">
        <f>M$5/$E40</f>
        <v>5.312126985280095</v>
      </c>
      <c r="N40" s="149"/>
      <c r="O40" s="149">
        <f>O$5/$E40</f>
        <v>5.691564627085816</v>
      </c>
      <c r="P40" s="149"/>
      <c r="Q40" s="149">
        <f>Q$5/$E40</f>
        <v>6.0710022688915375</v>
      </c>
      <c r="R40" s="149"/>
      <c r="S40" s="149">
        <f>S$5/$E40</f>
        <v>6.450439910697258</v>
      </c>
      <c r="T40" s="149"/>
      <c r="U40" s="149">
        <f>U$5/$E40</f>
        <v>6.829877552502979</v>
      </c>
      <c r="W40" s="152">
        <f>W$5/Y40</f>
        <v>10.512081943437277</v>
      </c>
      <c r="Y40" s="145">
        <f>'Buyer P&amp;L'!Q51</f>
        <v>3.0203341422601464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57"/>
  <sheetViews>
    <sheetView showGridLines="0" zoomScale="80" zoomScaleNormal="80" workbookViewId="0" topLeftCell="A1">
      <selection activeCell="A1" sqref="A1"/>
    </sheetView>
  </sheetViews>
  <sheetFormatPr defaultColWidth="9.140625" defaultRowHeight="12.75"/>
  <cols>
    <col min="1" max="1" width="1.7109375" style="0" customWidth="1"/>
    <col min="2" max="4" width="12.7109375" style="0" customWidth="1"/>
    <col min="5" max="5" width="9.7109375" style="0" customWidth="1"/>
    <col min="6" max="6" width="9.421875" style="0" customWidth="1"/>
    <col min="7" max="7" width="1.7109375" style="0" customWidth="1"/>
    <col min="8" max="8" width="9.57421875" style="0" customWidth="1"/>
    <col min="9" max="9" width="1.7109375" style="0" customWidth="1"/>
    <col min="10" max="10" width="9.57421875" style="0" customWidth="1"/>
    <col min="11" max="11" width="1.7109375" style="0" customWidth="1"/>
    <col min="12" max="12" width="9.57421875" style="0" customWidth="1"/>
    <col min="13" max="13" width="1.7109375" style="0" customWidth="1"/>
    <col min="14" max="14" width="9.57421875" style="0" customWidth="1"/>
    <col min="15" max="15" width="1.7109375" style="0" customWidth="1"/>
    <col min="16" max="16" width="9.57421875" style="0" customWidth="1"/>
    <col min="17" max="17" width="1.7109375" style="0" customWidth="1"/>
    <col min="18" max="18" width="9.57421875" style="0" customWidth="1"/>
    <col min="19" max="19" width="1.7109375" style="0" customWidth="1"/>
    <col min="20" max="20" width="9.57421875" style="0" customWidth="1"/>
  </cols>
  <sheetData>
    <row r="1" spans="1:20" ht="24" customHeight="1" thickBot="1">
      <c r="A1" s="1" t="s">
        <v>203</v>
      </c>
      <c r="B1" s="2"/>
      <c r="C1" s="2"/>
      <c r="D1" s="2"/>
      <c r="E1" s="2"/>
      <c r="F1" s="2"/>
      <c r="G1" s="2"/>
      <c r="H1" s="2"/>
      <c r="I1" s="2"/>
      <c r="J1" s="2"/>
      <c r="K1" s="2"/>
      <c r="L1" s="2"/>
      <c r="M1" s="2"/>
      <c r="N1" s="2"/>
      <c r="O1" s="2"/>
      <c r="P1" s="2"/>
      <c r="Q1" s="2"/>
      <c r="R1" s="2"/>
      <c r="S1" s="2"/>
      <c r="T1" s="2"/>
    </row>
    <row r="2" ht="12.75">
      <c r="A2" s="108" t="s">
        <v>1</v>
      </c>
    </row>
    <row r="4" spans="6:7" ht="12.75">
      <c r="F4" s="99" t="s">
        <v>170</v>
      </c>
      <c r="G4" s="99"/>
    </row>
    <row r="5" spans="6:20" ht="13.5" customHeight="1" thickBot="1">
      <c r="F5" s="153" t="s">
        <v>171</v>
      </c>
      <c r="G5" s="99"/>
      <c r="H5" s="7" t="str">
        <f>"Transaction Prices Per "&amp;tgt&amp;" Share"</f>
        <v>Transaction Prices Per TargetCo Share</v>
      </c>
      <c r="I5" s="32"/>
      <c r="J5" s="32"/>
      <c r="K5" s="32"/>
      <c r="L5" s="32"/>
      <c r="M5" s="32"/>
      <c r="N5" s="32"/>
      <c r="O5" s="32"/>
      <c r="P5" s="32"/>
      <c r="Q5" s="32"/>
      <c r="R5" s="32"/>
      <c r="S5" s="32"/>
      <c r="T5" s="32"/>
    </row>
    <row r="6" spans="1:20" ht="13.5" customHeight="1" thickBot="1">
      <c r="A6" s="19"/>
      <c r="F6" s="154">
        <f>PPR!G5</f>
        <v>12.81</v>
      </c>
      <c r="G6" s="126"/>
      <c r="H6" s="154">
        <f>PPR!I5</f>
        <v>12</v>
      </c>
      <c r="I6" s="128"/>
      <c r="J6" s="154">
        <f>PPR!K5</f>
        <v>13</v>
      </c>
      <c r="K6" s="129"/>
      <c r="L6" s="154">
        <f>PPR!M5</f>
        <v>14</v>
      </c>
      <c r="M6" s="130"/>
      <c r="N6" s="154">
        <f>PPR!O5</f>
        <v>15</v>
      </c>
      <c r="O6" s="130"/>
      <c r="P6" s="154">
        <f>PPR!Q5</f>
        <v>16</v>
      </c>
      <c r="Q6" s="131"/>
      <c r="R6" s="154">
        <f>PPR!S5</f>
        <v>17</v>
      </c>
      <c r="S6" s="19"/>
      <c r="T6" s="154">
        <f>PPR!U5</f>
        <v>18</v>
      </c>
    </row>
    <row r="7" ht="12.75">
      <c r="Q7" s="75"/>
    </row>
    <row r="8" spans="1:20" ht="12.75">
      <c r="A8" s="4" t="s">
        <v>204</v>
      </c>
      <c r="B8" s="4"/>
      <c r="C8" s="4"/>
      <c r="D8" s="4"/>
      <c r="E8" s="4"/>
      <c r="F8" s="4"/>
      <c r="G8" s="4"/>
      <c r="H8" s="4"/>
      <c r="I8" s="4"/>
      <c r="J8" s="4"/>
      <c r="K8" s="4"/>
      <c r="L8" s="4"/>
      <c r="M8" s="4"/>
      <c r="N8" s="4"/>
      <c r="O8" s="4"/>
      <c r="P8" s="4"/>
      <c r="Q8" s="4"/>
      <c r="R8" s="4"/>
      <c r="S8" s="4"/>
      <c r="T8" s="4"/>
    </row>
    <row r="10" ht="12.75">
      <c r="A10" s="41" t="s">
        <v>205</v>
      </c>
    </row>
    <row r="11" spans="1:20" ht="12.75">
      <c r="A11" t="str">
        <f>tgt&amp;" Common Consideration"</f>
        <v>TargetCo Common Consideration</v>
      </c>
      <c r="F11" s="135">
        <f>PPR!G10</f>
        <v>448.62165</v>
      </c>
      <c r="H11" s="135">
        <f>PPR!I10</f>
        <v>419.90273999999994</v>
      </c>
      <c r="J11" s="135">
        <f>PPR!K10</f>
        <v>455.40674</v>
      </c>
      <c r="L11" s="135">
        <f>PPR!M10</f>
        <v>491.11773999999997</v>
      </c>
      <c r="N11" s="135">
        <f>PPR!O10</f>
        <v>526.8287399999999</v>
      </c>
      <c r="P11" s="135">
        <f>PPR!Q10</f>
        <v>562.5397399999999</v>
      </c>
      <c r="R11" s="135">
        <f>PPR!S10</f>
        <v>598.25074</v>
      </c>
      <c r="T11" s="135">
        <f>PPR!U10</f>
        <v>633.96174</v>
      </c>
    </row>
    <row r="12" spans="1:20" ht="12.75">
      <c r="A12" t="str">
        <f>tgt&amp;" Options Consideration"</f>
        <v>TargetCo Options Consideration</v>
      </c>
      <c r="F12" s="165">
        <f>GAAP!J15+GAAP!J22</f>
        <v>6.852545959152144</v>
      </c>
      <c r="H12" s="165">
        <f>GAAP!L15+GAAP!L22</f>
        <v>6.126147639353968</v>
      </c>
      <c r="J12" s="165">
        <f>GAAP!N15+GAAP!N22</f>
        <v>7.026379578026559</v>
      </c>
      <c r="L12" s="165">
        <f>GAAP!P15+GAAP!P22</f>
        <v>7.961559336718113</v>
      </c>
      <c r="N12" s="165">
        <f>GAAP!R15+GAAP!R22</f>
        <v>8.928614347035465</v>
      </c>
      <c r="P12" s="165">
        <f>GAAP!T15+GAAP!T22</f>
        <v>9.924825984748459</v>
      </c>
      <c r="R12" s="165">
        <f>GAAP!V15+GAAP!V22</f>
        <v>10.947778917466975</v>
      </c>
      <c r="T12" s="165">
        <f>GAAP!X15+GAAP!X22</f>
        <v>11.995319064614538</v>
      </c>
    </row>
    <row r="13" spans="1:20" ht="13.5" customHeight="1" thickBot="1">
      <c r="A13" t="str">
        <f>tgt&amp;" Preferred Consideration"</f>
        <v>TargetCo Preferred Consideration</v>
      </c>
      <c r="F13" s="165">
        <f>'PF BS'!K41</f>
        <v>0</v>
      </c>
      <c r="G13" s="63"/>
      <c r="H13" s="88">
        <f>F13</f>
        <v>0</v>
      </c>
      <c r="I13" s="63"/>
      <c r="J13" s="88">
        <f>H13</f>
        <v>0</v>
      </c>
      <c r="K13" s="63"/>
      <c r="L13" s="88">
        <f>J13</f>
        <v>0</v>
      </c>
      <c r="M13" s="63"/>
      <c r="N13" s="88">
        <f>L13</f>
        <v>0</v>
      </c>
      <c r="O13" s="63"/>
      <c r="P13" s="88">
        <f>N13</f>
        <v>0</v>
      </c>
      <c r="Q13" s="63"/>
      <c r="R13" s="88">
        <f>P13</f>
        <v>0</v>
      </c>
      <c r="S13" s="63"/>
      <c r="T13" s="88">
        <f>R13</f>
        <v>0</v>
      </c>
    </row>
    <row r="14" spans="2:20" ht="12.75">
      <c r="B14" t="s">
        <v>206</v>
      </c>
      <c r="F14" s="65">
        <f>SUM(F11:F13)</f>
        <v>455.47419595915215</v>
      </c>
      <c r="H14" s="65">
        <f>SUM(H11:H13)</f>
        <v>426.0288876393539</v>
      </c>
      <c r="J14" s="65">
        <f>SUM(J11:J13)</f>
        <v>462.43311957802655</v>
      </c>
      <c r="L14" s="65">
        <f>SUM(L11:L13)</f>
        <v>499.07929933671807</v>
      </c>
      <c r="N14" s="65">
        <f>SUM(N11:N13)</f>
        <v>535.7573543470354</v>
      </c>
      <c r="P14" s="65">
        <f>SUM(P11:P13)</f>
        <v>572.4645659847484</v>
      </c>
      <c r="R14" s="65">
        <f>SUM(R11:R13)</f>
        <v>609.1985189174669</v>
      </c>
      <c r="T14" s="65">
        <f>SUM(T11:T13)</f>
        <v>645.9570590646146</v>
      </c>
    </row>
    <row r="16" spans="1:20" ht="12.75">
      <c r="A16" t="str">
        <f>tgt&amp;" Revolver Refinanced"</f>
        <v>TargetCo Revolver Refinanced</v>
      </c>
      <c r="F16" s="165">
        <f>'PF BS'!K34</f>
        <v>0</v>
      </c>
      <c r="G16" s="166"/>
      <c r="H16" s="167">
        <f>F16</f>
        <v>0</v>
      </c>
      <c r="I16" s="166"/>
      <c r="J16" s="167">
        <f>H16</f>
        <v>0</v>
      </c>
      <c r="K16" s="166"/>
      <c r="L16" s="167">
        <f>J16</f>
        <v>0</v>
      </c>
      <c r="M16" s="166"/>
      <c r="N16" s="167">
        <f>L16</f>
        <v>0</v>
      </c>
      <c r="O16" s="166"/>
      <c r="P16" s="167">
        <f>N16</f>
        <v>0</v>
      </c>
      <c r="Q16" s="166"/>
      <c r="R16" s="167">
        <f>P16</f>
        <v>0</v>
      </c>
      <c r="S16" s="166"/>
      <c r="T16" s="167">
        <f>R16</f>
        <v>0</v>
      </c>
    </row>
    <row r="17" spans="1:20" ht="12.75" customHeight="1">
      <c r="A17" t="str">
        <f>tgt&amp;" Convertible Debt Assumed"</f>
        <v>TargetCo Convertible Debt Assumed</v>
      </c>
      <c r="F17" s="168">
        <f>assume*(IF(Assumptions!$L$26&gt;F6,Assumptions!$L$25,0)+IF(Assumptions!$N$26&gt;F6,Assumptions!$N$25,0))</f>
        <v>230</v>
      </c>
      <c r="H17" s="168">
        <f>assume*(IF(Assumptions!$L$26&gt;H6,Assumptions!$L$25,0)+IF(Assumptions!$N$26&gt;H6,Assumptions!$N$25,0))</f>
        <v>230</v>
      </c>
      <c r="J17" s="168">
        <f>assume*(IF(Assumptions!$L$26&gt;J6,Assumptions!$L$25,0)+IF(Assumptions!$N$26&gt;J6,Assumptions!$N$25,0))</f>
        <v>230</v>
      </c>
      <c r="L17" s="168">
        <f>assume*(IF(Assumptions!$L$26&gt;L6,Assumptions!$L$25,0)+IF(Assumptions!$N$26&gt;L6,Assumptions!$N$25,0))</f>
        <v>230</v>
      </c>
      <c r="N17" s="168">
        <f>assume*(IF(Assumptions!$L$26&gt;N6,Assumptions!$L$25,0)+IF(Assumptions!$N$26&gt;N6,Assumptions!$N$25,0))</f>
        <v>230</v>
      </c>
      <c r="P17" s="168">
        <f>assume*(IF(Assumptions!$L$26&gt;P6,Assumptions!$L$25,0)+IF(Assumptions!$N$26&gt;P6,Assumptions!$N$25,0))</f>
        <v>230</v>
      </c>
      <c r="R17" s="168">
        <f>assume*(IF(Assumptions!$L$26&gt;R6,Assumptions!$L$25,0)+IF(Assumptions!$N$26&gt;R6,Assumptions!$N$25,0))</f>
        <v>230</v>
      </c>
      <c r="T17" s="168">
        <f>assume*(IF(Assumptions!$L$26&gt;T6,Assumptions!$L$25,0)+IF(Assumptions!$N$26&gt;T6,Assumptions!$N$25,0))</f>
        <v>230</v>
      </c>
    </row>
    <row r="18" spans="1:20" ht="12.75" customHeight="1">
      <c r="A18" t="str">
        <f>tgt&amp;" Convertible Debt Refinanced/Retired"</f>
        <v>TargetCo Convertible Debt Refinanced/Retired</v>
      </c>
      <c r="F18" s="168">
        <f>(1-assume)*(IF(Assumptions!$L$26&gt;F6,Assumptions!$L$25,0)+IF(Assumptions!$N$26&gt;F6,Assumptions!$N$25,0))</f>
        <v>0</v>
      </c>
      <c r="G18" s="169"/>
      <c r="H18" s="168">
        <f>(1-assume)*(IF(Assumptions!$L$26&gt;H6,Assumptions!$L$25,0)+IF(Assumptions!$N$26&gt;H6,Assumptions!$N$25,0))</f>
        <v>0</v>
      </c>
      <c r="I18" s="169"/>
      <c r="J18" s="168">
        <f>(1-assume)*(IF(Assumptions!$L$26&gt;J6,Assumptions!$L$25,0)+IF(Assumptions!$N$26&gt;J6,Assumptions!$N$25,0))</f>
        <v>0</v>
      </c>
      <c r="K18" s="169"/>
      <c r="L18" s="168">
        <f>(1-assume)*(IF(Assumptions!$L$26&gt;L6,Assumptions!$L$25,0)+IF(Assumptions!$N$26&gt;L6,Assumptions!$N$25,0))</f>
        <v>0</v>
      </c>
      <c r="M18" s="169"/>
      <c r="N18" s="168">
        <f>(1-assume)*(IF(Assumptions!$L$26&gt;N6,Assumptions!$L$25,0)+IF(Assumptions!$N$26&gt;N6,Assumptions!$N$25,0))</f>
        <v>0</v>
      </c>
      <c r="O18" s="169"/>
      <c r="P18" s="168">
        <f>(1-assume)*(IF(Assumptions!$L$26&gt;P6,Assumptions!$L$25,0)+IF(Assumptions!$N$26&gt;P6,Assumptions!$N$25,0))</f>
        <v>0</v>
      </c>
      <c r="Q18" s="169"/>
      <c r="R18" s="168">
        <f>(1-assume)*(IF(Assumptions!$L$26&gt;R6,Assumptions!$L$25,0)+IF(Assumptions!$N$26&gt;R6,Assumptions!$N$25,0))</f>
        <v>0</v>
      </c>
      <c r="S18" s="169"/>
      <c r="T18" s="168">
        <f>(1-assume)*(IF(Assumptions!$L$26&gt;T6,Assumptions!$L$25,0)+IF(Assumptions!$N$26&gt;T6,Assumptions!$N$25,0))</f>
        <v>0</v>
      </c>
    </row>
    <row r="19" spans="1:20" ht="12.75">
      <c r="A19" t="str">
        <f>tgt&amp;" Non-Convertible LT Debt Assumed"</f>
        <v>TargetCo Non-Convertible LT Debt Assumed</v>
      </c>
      <c r="F19" s="165">
        <f>assume*'PF BS'!K35</f>
        <v>0</v>
      </c>
      <c r="G19" s="166"/>
      <c r="H19" s="167">
        <f>F19</f>
        <v>0</v>
      </c>
      <c r="I19" s="63"/>
      <c r="J19" s="167">
        <f>H19</f>
        <v>0</v>
      </c>
      <c r="K19" s="63"/>
      <c r="L19" s="167">
        <f>J19</f>
        <v>0</v>
      </c>
      <c r="M19" s="63"/>
      <c r="N19" s="167">
        <f>L19</f>
        <v>0</v>
      </c>
      <c r="O19" s="63"/>
      <c r="P19" s="167">
        <f>N19</f>
        <v>0</v>
      </c>
      <c r="Q19" s="63"/>
      <c r="R19" s="167">
        <f>P19</f>
        <v>0</v>
      </c>
      <c r="S19" s="63"/>
      <c r="T19" s="167">
        <f>R19</f>
        <v>0</v>
      </c>
    </row>
    <row r="20" spans="1:20" ht="13.5" customHeight="1" thickBot="1">
      <c r="A20" t="str">
        <f>tgt&amp;" Non-Convertible LT Debt Refinanced/Retired"</f>
        <v>TargetCo Non-Convertible LT Debt Refinanced/Retired</v>
      </c>
      <c r="F20" s="165">
        <f>(1-assume)*'PF BS'!K35</f>
        <v>0</v>
      </c>
      <c r="G20" s="63"/>
      <c r="H20" s="167">
        <f>F20</f>
        <v>0</v>
      </c>
      <c r="I20" s="63"/>
      <c r="J20" s="167">
        <f>H20</f>
        <v>0</v>
      </c>
      <c r="K20" s="63"/>
      <c r="L20" s="167">
        <f>J20</f>
        <v>0</v>
      </c>
      <c r="M20" s="63"/>
      <c r="N20" s="167">
        <f>L20</f>
        <v>0</v>
      </c>
      <c r="O20" s="63"/>
      <c r="P20" s="167">
        <f>N20</f>
        <v>0</v>
      </c>
      <c r="Q20" s="63"/>
      <c r="R20" s="167">
        <f>P20</f>
        <v>0</v>
      </c>
      <c r="S20" s="63"/>
      <c r="T20" s="167">
        <f>R20</f>
        <v>0</v>
      </c>
    </row>
    <row r="21" spans="2:20" ht="12.75">
      <c r="B21" t="s">
        <v>207</v>
      </c>
      <c r="F21" s="65">
        <f>SUM(F14:F20)</f>
        <v>685.4741959591522</v>
      </c>
      <c r="H21" s="65">
        <f>SUM(H14:H20)</f>
        <v>656.0288876393539</v>
      </c>
      <c r="J21" s="65">
        <f>SUM(J14:J20)</f>
        <v>692.4331195780265</v>
      </c>
      <c r="L21" s="65">
        <f>SUM(L14:L20)</f>
        <v>729.0792993367181</v>
      </c>
      <c r="N21" s="65">
        <f>SUM(N14:N20)</f>
        <v>765.7573543470354</v>
      </c>
      <c r="P21" s="65">
        <f>SUM(P14:P20)</f>
        <v>802.4645659847484</v>
      </c>
      <c r="R21" s="65">
        <f>SUM(R14:R20)</f>
        <v>839.1985189174669</v>
      </c>
      <c r="T21" s="65">
        <f>SUM(T14:T20)</f>
        <v>875.9570590646146</v>
      </c>
    </row>
    <row r="23" spans="1:20" ht="12.75">
      <c r="A23" t="s">
        <v>208</v>
      </c>
      <c r="F23" s="113">
        <v>0</v>
      </c>
      <c r="G23" s="166"/>
      <c r="H23" s="167">
        <f>F23</f>
        <v>0</v>
      </c>
      <c r="I23" s="63"/>
      <c r="J23" s="167">
        <f>H23</f>
        <v>0</v>
      </c>
      <c r="K23" s="63"/>
      <c r="L23" s="167">
        <f>J23</f>
        <v>0</v>
      </c>
      <c r="M23" s="63"/>
      <c r="N23" s="167">
        <f>L23</f>
        <v>0</v>
      </c>
      <c r="O23" s="63"/>
      <c r="P23" s="167">
        <f>N23</f>
        <v>0</v>
      </c>
      <c r="Q23" s="63"/>
      <c r="R23" s="167">
        <f>P23</f>
        <v>0</v>
      </c>
      <c r="S23" s="63"/>
      <c r="T23" s="167">
        <f>R23</f>
        <v>0</v>
      </c>
    </row>
    <row r="24" spans="1:20" ht="12.75">
      <c r="A24" t="s">
        <v>72</v>
      </c>
      <c r="F24" s="165">
        <f>F34*Assumptions!$T$25</f>
        <v>0</v>
      </c>
      <c r="G24" s="166"/>
      <c r="H24" s="165">
        <f>H34*Assumptions!$T$25</f>
        <v>0</v>
      </c>
      <c r="I24" s="63"/>
      <c r="J24" s="165">
        <f>J34*Assumptions!$T$25</f>
        <v>0</v>
      </c>
      <c r="K24" s="63"/>
      <c r="L24" s="165">
        <f>L34*Assumptions!$T$25</f>
        <v>0</v>
      </c>
      <c r="M24" s="63"/>
      <c r="N24" s="165">
        <f>N34*Assumptions!$T$25</f>
        <v>0</v>
      </c>
      <c r="O24" s="63"/>
      <c r="P24" s="165">
        <f>P34*Assumptions!$T$25</f>
        <v>0</v>
      </c>
      <c r="Q24" s="63"/>
      <c r="R24" s="165">
        <f>R34*Assumptions!$T$25</f>
        <v>0</v>
      </c>
      <c r="S24" s="63"/>
      <c r="T24" s="165">
        <f>T34*Assumptions!$T$25</f>
        <v>0</v>
      </c>
    </row>
    <row r="25" spans="1:20" ht="13.5" customHeight="1" thickBot="1">
      <c r="A25" t="s">
        <v>71</v>
      </c>
      <c r="F25" s="168">
        <f>fees</f>
        <v>30</v>
      </c>
      <c r="H25" s="168">
        <f>fees</f>
        <v>30</v>
      </c>
      <c r="J25" s="168">
        <f>fees</f>
        <v>30</v>
      </c>
      <c r="L25" s="168">
        <f>fees</f>
        <v>30</v>
      </c>
      <c r="N25" s="168">
        <f>fees</f>
        <v>30</v>
      </c>
      <c r="P25" s="168">
        <f>fees</f>
        <v>30</v>
      </c>
      <c r="R25" s="168">
        <f>fees</f>
        <v>30</v>
      </c>
      <c r="T25" s="168">
        <f>fees</f>
        <v>30</v>
      </c>
    </row>
    <row r="26" spans="2:20" ht="13.5" customHeight="1" thickBot="1">
      <c r="B26" s="19" t="s">
        <v>209</v>
      </c>
      <c r="F26" s="20">
        <f>SUM(F21:F25)</f>
        <v>715.4741959591522</v>
      </c>
      <c r="H26" s="20">
        <f>SUM(H21:H25)</f>
        <v>686.0288876393539</v>
      </c>
      <c r="J26" s="20">
        <f>SUM(J21:J25)</f>
        <v>722.4331195780265</v>
      </c>
      <c r="L26" s="20">
        <f>SUM(L21:L25)</f>
        <v>759.0792993367181</v>
      </c>
      <c r="N26" s="20">
        <f>SUM(N21:N25)</f>
        <v>795.7573543470354</v>
      </c>
      <c r="P26" s="20">
        <f>SUM(P21:P25)</f>
        <v>832.4645659847484</v>
      </c>
      <c r="R26" s="20">
        <f>SUM(R21:R25)</f>
        <v>869.1985189174669</v>
      </c>
      <c r="T26" s="20">
        <f>SUM(T21:T25)</f>
        <v>905.9570590646146</v>
      </c>
    </row>
    <row r="27" ht="13.5" customHeight="1" thickTop="1"/>
    <row r="28" ht="12.75">
      <c r="A28" s="41" t="s">
        <v>210</v>
      </c>
    </row>
    <row r="29" spans="1:20" ht="12.75">
      <c r="A29" t="str">
        <f>acq&amp;" Common Consideration"</f>
        <v>BuyerCo Common Consideration</v>
      </c>
      <c r="F29" s="135">
        <f>F11*(1-pct_cash)</f>
        <v>269.17298999999997</v>
      </c>
      <c r="H29" s="135">
        <f>H11*(1-pct_cash)</f>
        <v>251.94164399999994</v>
      </c>
      <c r="J29" s="135">
        <f>J11*(1-pct_cash)</f>
        <v>273.244044</v>
      </c>
      <c r="L29" s="135">
        <f>L11*(1-pct_cash)</f>
        <v>294.670644</v>
      </c>
      <c r="N29" s="135">
        <f>N11*(1-pct_cash)</f>
        <v>316.09724399999993</v>
      </c>
      <c r="P29" s="135">
        <f>P11*(1-pct_cash)</f>
        <v>337.52384399999994</v>
      </c>
      <c r="R29" s="135">
        <f>R11*(1-pct_cash)</f>
        <v>358.95044399999995</v>
      </c>
      <c r="T29" s="135">
        <f>T11*(1-pct_cash)</f>
        <v>380.37704399999996</v>
      </c>
    </row>
    <row r="30" spans="1:20" ht="12.75">
      <c r="A30" t="str">
        <f>acq&amp;" Options Consideration"</f>
        <v>BuyerCo Options Consideration</v>
      </c>
      <c r="F30" s="167">
        <f>F12</f>
        <v>6.852545959152144</v>
      </c>
      <c r="G30" s="63"/>
      <c r="H30" s="167">
        <f>H12</f>
        <v>6.126147639353968</v>
      </c>
      <c r="I30" s="63"/>
      <c r="J30" s="167">
        <f>J12</f>
        <v>7.026379578026559</v>
      </c>
      <c r="K30" s="63"/>
      <c r="L30" s="167">
        <f>L12</f>
        <v>7.961559336718113</v>
      </c>
      <c r="M30" s="63"/>
      <c r="N30" s="167">
        <f>N12</f>
        <v>8.928614347035465</v>
      </c>
      <c r="O30" s="63"/>
      <c r="P30" s="167">
        <f>P12</f>
        <v>9.924825984748459</v>
      </c>
      <c r="Q30" s="63"/>
      <c r="R30" s="167">
        <f>R12</f>
        <v>10.947778917466975</v>
      </c>
      <c r="S30" s="63"/>
      <c r="T30" s="167">
        <f>T12</f>
        <v>11.995319064614538</v>
      </c>
    </row>
    <row r="31" spans="1:20" ht="12.75">
      <c r="A31" t="str">
        <f>acq&amp;" Preferred Consideration"</f>
        <v>BuyerCo Preferred Consideration</v>
      </c>
      <c r="F31" s="167">
        <f>F13</f>
        <v>0</v>
      </c>
      <c r="G31" s="63"/>
      <c r="H31" s="167">
        <f>H13</f>
        <v>0</v>
      </c>
      <c r="I31" s="63"/>
      <c r="J31" s="167">
        <f>J13</f>
        <v>0</v>
      </c>
      <c r="K31" s="63"/>
      <c r="L31" s="167">
        <f>L13</f>
        <v>0</v>
      </c>
      <c r="M31" s="63"/>
      <c r="N31" s="167">
        <f>N13</f>
        <v>0</v>
      </c>
      <c r="O31" s="63"/>
      <c r="P31" s="167">
        <f>P13</f>
        <v>0</v>
      </c>
      <c r="Q31" s="63"/>
      <c r="R31" s="167">
        <f>R13</f>
        <v>0</v>
      </c>
      <c r="S31" s="63"/>
      <c r="T31" s="167">
        <f>T13</f>
        <v>0</v>
      </c>
    </row>
    <row r="32" spans="1:20" ht="12.75">
      <c r="A32" t="s">
        <v>211</v>
      </c>
      <c r="F32" s="167">
        <f>MIN(F57,F46)</f>
        <v>209.44866000000002</v>
      </c>
      <c r="G32" s="166"/>
      <c r="H32" s="167">
        <f>MIN(H57,H46)</f>
        <v>197.961096</v>
      </c>
      <c r="I32" s="166"/>
      <c r="J32" s="167">
        <f>MIN(J57,J46)</f>
        <v>212.16269600000004</v>
      </c>
      <c r="K32" s="166"/>
      <c r="L32" s="167">
        <f>MIN(L57,L46)</f>
        <v>226.447096</v>
      </c>
      <c r="M32" s="166"/>
      <c r="N32" s="167">
        <f>MIN(N57,N46)</f>
        <v>240.731496</v>
      </c>
      <c r="O32" s="166"/>
      <c r="P32" s="167">
        <f>MIN(P57,P46)</f>
        <v>255.015896</v>
      </c>
      <c r="Q32" s="166"/>
      <c r="R32" s="167">
        <f>MIN(R57,R46)</f>
        <v>269.300296</v>
      </c>
      <c r="S32" s="166"/>
      <c r="T32" s="167">
        <f>MIN(T57,T46)</f>
        <v>283.584696</v>
      </c>
    </row>
    <row r="33" spans="1:20" ht="12.75">
      <c r="A33" t="str">
        <f>acq&amp;" Revolver"</f>
        <v>BuyerCo Revolver</v>
      </c>
      <c r="F33" s="167">
        <f>F16-F55</f>
        <v>0</v>
      </c>
      <c r="G33" s="166"/>
      <c r="H33" s="167">
        <f>H16-H55</f>
        <v>0</v>
      </c>
      <c r="I33" s="166"/>
      <c r="J33" s="167">
        <f>J16-J55</f>
        <v>0</v>
      </c>
      <c r="K33" s="166"/>
      <c r="L33" s="167">
        <f>L16-L55</f>
        <v>0</v>
      </c>
      <c r="M33" s="166"/>
      <c r="N33" s="167">
        <f>N16-N55</f>
        <v>0</v>
      </c>
      <c r="O33" s="166"/>
      <c r="P33" s="167">
        <f>P16-P55</f>
        <v>0</v>
      </c>
      <c r="Q33" s="166"/>
      <c r="R33" s="167">
        <f>R16-R55</f>
        <v>0</v>
      </c>
      <c r="S33" s="166"/>
      <c r="T33" s="167">
        <f>T16-T55</f>
        <v>0</v>
      </c>
    </row>
    <row r="34" spans="1:20" ht="12.75">
      <c r="A34" t="s">
        <v>64</v>
      </c>
      <c r="F34" s="167">
        <f>MAX(F54-F46,0)</f>
        <v>0</v>
      </c>
      <c r="G34" s="166"/>
      <c r="H34" s="167">
        <f>MAX(H54-H46,0)</f>
        <v>0</v>
      </c>
      <c r="I34" s="166"/>
      <c r="J34" s="167">
        <f>MAX(J54-J46,0)</f>
        <v>0</v>
      </c>
      <c r="K34" s="166"/>
      <c r="L34" s="167">
        <f>MAX(L54-L46,0)</f>
        <v>0</v>
      </c>
      <c r="M34" s="166"/>
      <c r="N34" s="167">
        <f>MAX(N54-N46,0)</f>
        <v>0</v>
      </c>
      <c r="O34" s="166"/>
      <c r="P34" s="167">
        <f>MAX(P54-P46,0)</f>
        <v>0</v>
      </c>
      <c r="Q34" s="166"/>
      <c r="R34" s="167">
        <f>MAX(R54-R46,0)</f>
        <v>0</v>
      </c>
      <c r="S34" s="166"/>
      <c r="T34" s="167">
        <f>MAX(T54-T46,0)</f>
        <v>0</v>
      </c>
    </row>
    <row r="35" spans="1:20" ht="13.5" customHeight="1" thickBot="1">
      <c r="A35" t="str">
        <f>tgt&amp;" LT Debt Assumed"</f>
        <v>TargetCo LT Debt Assumed</v>
      </c>
      <c r="F35" s="88">
        <f>F17+F19</f>
        <v>230</v>
      </c>
      <c r="H35" s="88">
        <f>H17+H19</f>
        <v>230</v>
      </c>
      <c r="J35" s="88">
        <f>J17+J19</f>
        <v>230</v>
      </c>
      <c r="L35" s="88">
        <f>L17+L19</f>
        <v>230</v>
      </c>
      <c r="N35" s="88">
        <f>N17+N19</f>
        <v>230</v>
      </c>
      <c r="P35" s="88">
        <f>P17+P19</f>
        <v>230</v>
      </c>
      <c r="R35" s="88">
        <f>R17+R19</f>
        <v>230</v>
      </c>
      <c r="T35" s="88">
        <f>T17+T19</f>
        <v>230</v>
      </c>
    </row>
    <row r="36" spans="2:20" ht="13.5" customHeight="1" thickBot="1">
      <c r="B36" s="19" t="s">
        <v>212</v>
      </c>
      <c r="F36" s="20">
        <f>SUM(F29:F35)</f>
        <v>715.4741959591522</v>
      </c>
      <c r="H36" s="20">
        <f>SUM(H29:H35)</f>
        <v>686.0288876393539</v>
      </c>
      <c r="J36" s="20">
        <f>SUM(J29:J35)</f>
        <v>722.4331195780265</v>
      </c>
      <c r="L36" s="20">
        <f>SUM(L29:L35)</f>
        <v>759.0792993367181</v>
      </c>
      <c r="N36" s="20">
        <f>SUM(N29:N35)</f>
        <v>795.7573543470354</v>
      </c>
      <c r="P36" s="20">
        <f>SUM(P29:P35)</f>
        <v>832.4645659847483</v>
      </c>
      <c r="R36" s="20">
        <f>SUM(R29:R35)</f>
        <v>869.1985189174669</v>
      </c>
      <c r="T36" s="20">
        <f>SUM(T29:T35)</f>
        <v>905.9570590646144</v>
      </c>
    </row>
    <row r="37" spans="1:20" ht="13.5" customHeight="1" thickTop="1">
      <c r="A37" s="19"/>
      <c r="F37" s="70"/>
      <c r="H37" s="70"/>
      <c r="J37" s="70"/>
      <c r="L37" s="70"/>
      <c r="N37" s="70"/>
      <c r="P37" s="70"/>
      <c r="R37" s="70"/>
      <c r="T37" s="70"/>
    </row>
    <row r="38" spans="1:20" s="56" customFormat="1" ht="12.75">
      <c r="A38" s="56" t="s">
        <v>156</v>
      </c>
      <c r="F38" s="170">
        <f>ROUND(ABS(F36-F26),3)</f>
        <v>0</v>
      </c>
      <c r="H38" s="170">
        <f>ROUND(ABS(H36-H26),3)</f>
        <v>0</v>
      </c>
      <c r="J38" s="170">
        <f>ROUND(ABS(J36-J26),3)</f>
        <v>0</v>
      </c>
      <c r="L38" s="170">
        <f>ROUND(ABS(L36-L26),3)</f>
        <v>0</v>
      </c>
      <c r="N38" s="170">
        <f>ROUND(ABS(N36-N26),3)</f>
        <v>0</v>
      </c>
      <c r="P38" s="170">
        <f>ROUND(ABS(P36-P26),3)</f>
        <v>0</v>
      </c>
      <c r="R38" s="170">
        <f>ROUND(ABS(R36-R26),3)</f>
        <v>0</v>
      </c>
      <c r="T38" s="170">
        <f>ROUND(ABS(T36-T26),3)</f>
        <v>0</v>
      </c>
    </row>
    <row r="40" spans="1:20" ht="12.75">
      <c r="A40" s="4" t="s">
        <v>213</v>
      </c>
      <c r="B40" s="4"/>
      <c r="C40" s="4"/>
      <c r="D40" s="4"/>
      <c r="E40" s="4"/>
      <c r="F40" s="4"/>
      <c r="G40" s="4"/>
      <c r="H40" s="4"/>
      <c r="I40" s="4"/>
      <c r="J40" s="4"/>
      <c r="K40" s="4"/>
      <c r="L40" s="4"/>
      <c r="M40" s="4"/>
      <c r="N40" s="4"/>
      <c r="O40" s="4"/>
      <c r="P40" s="4"/>
      <c r="Q40" s="4"/>
      <c r="R40" s="4"/>
      <c r="S40" s="4"/>
      <c r="T40" s="4"/>
    </row>
    <row r="42" ht="12.75">
      <c r="A42" s="41" t="s">
        <v>214</v>
      </c>
    </row>
    <row r="43" spans="1:20" ht="12.75">
      <c r="A43" t="str">
        <f>acq&amp;" Existing Cash"</f>
        <v>BuyerCo Existing Cash</v>
      </c>
      <c r="F43" s="135">
        <f>'PF BS'!I8</f>
        <v>1181.797</v>
      </c>
      <c r="H43" s="16">
        <f>F43</f>
        <v>1181.797</v>
      </c>
      <c r="J43" s="16">
        <f>H43</f>
        <v>1181.797</v>
      </c>
      <c r="L43" s="16">
        <f>J43</f>
        <v>1181.797</v>
      </c>
      <c r="N43" s="16">
        <f>L43</f>
        <v>1181.797</v>
      </c>
      <c r="P43" s="16">
        <f>N43</f>
        <v>1181.797</v>
      </c>
      <c r="R43" s="16">
        <f>P43</f>
        <v>1181.797</v>
      </c>
      <c r="T43" s="16">
        <f>R43</f>
        <v>1181.797</v>
      </c>
    </row>
    <row r="44" spans="1:20" ht="12.75">
      <c r="A44" t="str">
        <f>tgt&amp;" Existing Cash"</f>
        <v>TargetCo Existing Cash</v>
      </c>
      <c r="F44" s="122">
        <f>'PF BS'!K8</f>
        <v>146.606</v>
      </c>
      <c r="H44" s="88">
        <f>F44</f>
        <v>146.606</v>
      </c>
      <c r="J44" s="88">
        <f>H44</f>
        <v>146.606</v>
      </c>
      <c r="L44" s="88">
        <f>J44</f>
        <v>146.606</v>
      </c>
      <c r="N44" s="88">
        <f>L44</f>
        <v>146.606</v>
      </c>
      <c r="P44" s="88">
        <f>N44</f>
        <v>146.606</v>
      </c>
      <c r="R44" s="88">
        <f>P44</f>
        <v>146.606</v>
      </c>
      <c r="T44" s="88">
        <f>R44</f>
        <v>146.606</v>
      </c>
    </row>
    <row r="45" spans="1:20" ht="13.5" customHeight="1" thickBot="1">
      <c r="A45" t="s">
        <v>69</v>
      </c>
      <c r="F45" s="122">
        <f>-min_cash</f>
        <v>-100</v>
      </c>
      <c r="H45" s="88">
        <f>F45</f>
        <v>-100</v>
      </c>
      <c r="J45" s="88">
        <f>H45</f>
        <v>-100</v>
      </c>
      <c r="L45" s="88">
        <f>J45</f>
        <v>-100</v>
      </c>
      <c r="N45" s="88">
        <f>L45</f>
        <v>-100</v>
      </c>
      <c r="P45" s="88">
        <f>N45</f>
        <v>-100</v>
      </c>
      <c r="R45" s="88">
        <f>P45</f>
        <v>-100</v>
      </c>
      <c r="T45" s="88">
        <f>R45</f>
        <v>-100</v>
      </c>
    </row>
    <row r="46" spans="2:20" ht="13.5" customHeight="1" thickBot="1">
      <c r="B46" s="19" t="s">
        <v>215</v>
      </c>
      <c r="F46" s="20">
        <f>SUM(F43:F45)</f>
        <v>1228.403</v>
      </c>
      <c r="H46" s="20">
        <f>SUM(H43:H45)</f>
        <v>1228.403</v>
      </c>
      <c r="J46" s="20">
        <f>SUM(J43:J45)</f>
        <v>1228.403</v>
      </c>
      <c r="L46" s="20">
        <f>SUM(L43:L45)</f>
        <v>1228.403</v>
      </c>
      <c r="N46" s="20">
        <f>SUM(N43:N45)</f>
        <v>1228.403</v>
      </c>
      <c r="P46" s="20">
        <f>SUM(P43:P45)</f>
        <v>1228.403</v>
      </c>
      <c r="R46" s="20">
        <f>SUM(R43:R45)</f>
        <v>1228.403</v>
      </c>
      <c r="T46" s="20">
        <f>SUM(T43:T45)</f>
        <v>1228.403</v>
      </c>
    </row>
    <row r="47" ht="13.5" customHeight="1" thickTop="1"/>
    <row r="48" ht="12.75">
      <c r="A48" s="41" t="s">
        <v>216</v>
      </c>
    </row>
    <row r="49" spans="1:20" ht="12.75">
      <c r="A49" t="str">
        <f>"Cash Paid to "&amp;tgt&amp;" Shareholders"</f>
        <v>Cash Paid to TargetCo Shareholders</v>
      </c>
      <c r="F49" s="16">
        <f>F11-F29</f>
        <v>179.44866000000002</v>
      </c>
      <c r="H49" s="16">
        <f>H11-H29</f>
        <v>167.961096</v>
      </c>
      <c r="J49" s="16">
        <f>J11-J29</f>
        <v>182.16269600000004</v>
      </c>
      <c r="L49" s="16">
        <f>L11-L29</f>
        <v>196.447096</v>
      </c>
      <c r="N49" s="16">
        <f>N11-N29</f>
        <v>210.731496</v>
      </c>
      <c r="P49" s="16">
        <f>P11-P29</f>
        <v>225.015896</v>
      </c>
      <c r="R49" s="16">
        <f>R11-R29</f>
        <v>239.300296</v>
      </c>
      <c r="T49" s="16">
        <f>T11-T29</f>
        <v>253.584696</v>
      </c>
    </row>
    <row r="50" spans="1:20" ht="12.75">
      <c r="A50" t="s">
        <v>72</v>
      </c>
      <c r="F50" s="88">
        <f>F24</f>
        <v>0</v>
      </c>
      <c r="H50" s="88">
        <f>H24</f>
        <v>0</v>
      </c>
      <c r="J50" s="88">
        <f>J24</f>
        <v>0</v>
      </c>
      <c r="L50" s="88">
        <f>L24</f>
        <v>0</v>
      </c>
      <c r="N50" s="88">
        <f>N24</f>
        <v>0</v>
      </c>
      <c r="P50" s="88">
        <f>P24</f>
        <v>0</v>
      </c>
      <c r="R50" s="88">
        <f>R24</f>
        <v>0</v>
      </c>
      <c r="T50" s="88">
        <f>T24</f>
        <v>0</v>
      </c>
    </row>
    <row r="51" spans="1:20" ht="12.75">
      <c r="A51" t="s">
        <v>71</v>
      </c>
      <c r="F51" s="88">
        <f>F25</f>
        <v>30</v>
      </c>
      <c r="H51" s="88">
        <f>H25</f>
        <v>30</v>
      </c>
      <c r="J51" s="88">
        <f>J25</f>
        <v>30</v>
      </c>
      <c r="L51" s="88">
        <f>L25</f>
        <v>30</v>
      </c>
      <c r="N51" s="88">
        <f>N25</f>
        <v>30</v>
      </c>
      <c r="P51" s="88">
        <f>P25</f>
        <v>30</v>
      </c>
      <c r="R51" s="88">
        <f>R25</f>
        <v>30</v>
      </c>
      <c r="T51" s="88">
        <f>T25</f>
        <v>30</v>
      </c>
    </row>
    <row r="52" spans="1:20" ht="12.75">
      <c r="A52" t="str">
        <f>acq&amp;" Debt Retired"</f>
        <v>BuyerCo Debt Retired</v>
      </c>
      <c r="F52" s="88">
        <f>F23</f>
        <v>0</v>
      </c>
      <c r="H52" s="88">
        <f>H23</f>
        <v>0</v>
      </c>
      <c r="J52" s="88">
        <f>J23</f>
        <v>0</v>
      </c>
      <c r="L52" s="88">
        <f>L23</f>
        <v>0</v>
      </c>
      <c r="N52" s="88">
        <f>N23</f>
        <v>0</v>
      </c>
      <c r="P52" s="88">
        <f>P23</f>
        <v>0</v>
      </c>
      <c r="R52" s="88">
        <f>R23</f>
        <v>0</v>
      </c>
      <c r="T52" s="88">
        <f>T23</f>
        <v>0</v>
      </c>
    </row>
    <row r="53" spans="1:20" ht="13.5" customHeight="1" thickBot="1">
      <c r="A53" t="str">
        <f>tgt&amp;" Debt Retired"</f>
        <v>TargetCo Debt Retired</v>
      </c>
      <c r="F53" s="88">
        <f>F18+F20</f>
        <v>0</v>
      </c>
      <c r="H53" s="88">
        <f>H18+H20</f>
        <v>0</v>
      </c>
      <c r="J53" s="88">
        <f>J18+J20</f>
        <v>0</v>
      </c>
      <c r="L53" s="88">
        <f>L18+L20</f>
        <v>0</v>
      </c>
      <c r="N53" s="88">
        <f>N18+N20</f>
        <v>0</v>
      </c>
      <c r="P53" s="88">
        <f>P18+P20</f>
        <v>0</v>
      </c>
      <c r="R53" s="88">
        <f>R18+R20</f>
        <v>0</v>
      </c>
      <c r="T53" s="88">
        <f>T18+T20</f>
        <v>0</v>
      </c>
    </row>
    <row r="54" spans="2:20" ht="12.75">
      <c r="B54" t="s">
        <v>217</v>
      </c>
      <c r="F54" s="65">
        <f>SUM(F49:F53)</f>
        <v>209.44866000000002</v>
      </c>
      <c r="H54" s="65">
        <f>SUM(H49:H53)</f>
        <v>197.961096</v>
      </c>
      <c r="J54" s="65">
        <f>SUM(J49:J53)</f>
        <v>212.16269600000004</v>
      </c>
      <c r="L54" s="65">
        <f>SUM(L49:L53)</f>
        <v>226.447096</v>
      </c>
      <c r="N54" s="65">
        <f>SUM(N49:N53)</f>
        <v>240.731496</v>
      </c>
      <c r="P54" s="65">
        <f>SUM(P49:P53)</f>
        <v>255.015896</v>
      </c>
      <c r="R54" s="65">
        <f>SUM(R49:R53)</f>
        <v>269.300296</v>
      </c>
      <c r="T54" s="65">
        <f>SUM(T49:T53)</f>
        <v>283.584696</v>
      </c>
    </row>
    <row r="55" spans="1:20" s="63" customFormat="1" ht="12.75">
      <c r="A55" s="63" t="str">
        <f>"Optional Paydown of "&amp;tgt&amp;" Revolver"</f>
        <v>Optional Paydown of TargetCo Revolver</v>
      </c>
      <c r="F55" s="88">
        <f>MAX(MIN(F46-F54,F16),0)</f>
        <v>0</v>
      </c>
      <c r="H55" s="88">
        <f>MAX(MIN(H46-H54,H16),0)</f>
        <v>0</v>
      </c>
      <c r="J55" s="88">
        <f>MAX(MIN(J46-J54,J16),0)</f>
        <v>0</v>
      </c>
      <c r="L55" s="88">
        <f>MAX(MIN(L46-L54,L16),0)</f>
        <v>0</v>
      </c>
      <c r="N55" s="88">
        <f>MAX(MIN(N46-N54,N16),0)</f>
        <v>0</v>
      </c>
      <c r="P55" s="88">
        <f>MAX(MIN(P46-P54,P16),0)</f>
        <v>0</v>
      </c>
      <c r="R55" s="88">
        <f>MAX(MIN(R46-R54,R16),0)</f>
        <v>0</v>
      </c>
      <c r="T55" s="88">
        <f>MAX(MIN(T46-T54,T16),0)</f>
        <v>0</v>
      </c>
    </row>
    <row r="56" spans="1:20" ht="13.5" customHeight="1" thickBot="1">
      <c r="A56" t="str">
        <f>"Optional Paydown of "&amp;acq&amp;" Revolver"</f>
        <v>Optional Paydown of BuyerCo Revolver</v>
      </c>
      <c r="F56" s="88">
        <f>MAX(MIN(F46-F54-F55,F33),0)</f>
        <v>0</v>
      </c>
      <c r="H56" s="88">
        <f>MAX(MIN(H46-H54-H55,H33),0)</f>
        <v>0</v>
      </c>
      <c r="J56" s="88">
        <f>MAX(MIN(J46-J54-J55,J33),0)</f>
        <v>0</v>
      </c>
      <c r="L56" s="88">
        <f>MAX(MIN(L46-L54-L55,L33),0)</f>
        <v>0</v>
      </c>
      <c r="N56" s="88">
        <f>MAX(MIN(N46-N54-N55,N33),0)</f>
        <v>0</v>
      </c>
      <c r="P56" s="88">
        <f>MAX(MIN(P46-P54-P55,P33),0)</f>
        <v>0</v>
      </c>
      <c r="R56" s="88">
        <f>MAX(MIN(R46-R54-R55,R33),0)</f>
        <v>0</v>
      </c>
      <c r="T56" s="88">
        <f>MAX(MIN(T46-T54-T55,T33),0)</f>
        <v>0</v>
      </c>
    </row>
    <row r="57" spans="2:20" ht="13.5" customHeight="1" thickBot="1">
      <c r="B57" s="19" t="s">
        <v>218</v>
      </c>
      <c r="F57" s="20">
        <f>SUM(F54:F56)</f>
        <v>209.44866000000002</v>
      </c>
      <c r="H57" s="20">
        <f>SUM(H54:H56)</f>
        <v>197.961096</v>
      </c>
      <c r="J57" s="20">
        <f>SUM(J54:J56)</f>
        <v>212.16269600000004</v>
      </c>
      <c r="L57" s="20">
        <f>SUM(L54:L56)</f>
        <v>226.447096</v>
      </c>
      <c r="N57" s="20">
        <f>SUM(N54:N56)</f>
        <v>240.731496</v>
      </c>
      <c r="P57" s="20">
        <f>SUM(P54:P56)</f>
        <v>255.015896</v>
      </c>
      <c r="R57" s="20">
        <f>SUM(R54:R56)</f>
        <v>269.300296</v>
      </c>
      <c r="T57" s="20">
        <f>SUM(T54:T56)</f>
        <v>283.584696</v>
      </c>
    </row>
    <row r="58" ht="13.5" customHeight="1" thickTop="1"/>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X147"/>
  <sheetViews>
    <sheetView showGridLines="0" tabSelected="1" zoomScale="80" zoomScaleNormal="80" workbookViewId="0" topLeftCell="A1">
      <selection activeCell="A1" sqref="A1"/>
    </sheetView>
  </sheetViews>
  <sheetFormatPr defaultColWidth="9.140625" defaultRowHeight="12.75"/>
  <cols>
    <col min="1" max="1" width="1.7109375" style="0" customWidth="1"/>
    <col min="2" max="2" width="9.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9.7109375" style="0" customWidth="1"/>
    <col min="9" max="9" width="1.7109375" style="0" customWidth="1"/>
    <col min="10" max="10" width="9.7109375" style="0" customWidth="1"/>
    <col min="11" max="11" width="1.7109375" style="0" customWidth="1"/>
    <col min="12" max="12" width="9.7109375" style="0" customWidth="1"/>
    <col min="13" max="13" width="1.7109375" style="0" customWidth="1"/>
    <col min="14" max="14" width="9.7109375" style="0" customWidth="1"/>
    <col min="15" max="15" width="1.7109375" style="0" customWidth="1"/>
    <col min="16" max="16" width="9.7109375" style="0" customWidth="1"/>
    <col min="17" max="17" width="1.7109375" style="0" customWidth="1"/>
    <col min="18" max="18" width="9.7109375" style="0" customWidth="1"/>
    <col min="19" max="19" width="1.7109375" style="0" customWidth="1"/>
    <col min="20" max="20" width="9.7109375" style="0" customWidth="1"/>
    <col min="21" max="21" width="1.7109375" style="0" customWidth="1"/>
    <col min="22" max="22" width="9.7109375" style="0" customWidth="1"/>
    <col min="23" max="23" width="1.7109375" style="0" customWidth="1"/>
    <col min="24" max="24" width="9.7109375" style="0" customWidth="1"/>
  </cols>
  <sheetData>
    <row r="1" spans="1:24" ht="24" customHeight="1" thickBot="1">
      <c r="A1" s="1" t="s">
        <v>169</v>
      </c>
      <c r="B1" s="2"/>
      <c r="C1" s="2"/>
      <c r="D1" s="2"/>
      <c r="E1" s="2"/>
      <c r="F1" s="2"/>
      <c r="G1" s="2"/>
      <c r="H1" s="2"/>
      <c r="I1" s="2"/>
      <c r="J1" s="2"/>
      <c r="K1" s="2"/>
      <c r="L1" s="2"/>
      <c r="M1" s="2"/>
      <c r="N1" s="2"/>
      <c r="O1" s="2"/>
      <c r="P1" s="2"/>
      <c r="Q1" s="2"/>
      <c r="R1" s="2"/>
      <c r="S1" s="2"/>
      <c r="T1" s="2"/>
      <c r="U1" s="2"/>
      <c r="V1" s="2"/>
      <c r="W1" s="2"/>
      <c r="X1" s="2"/>
    </row>
    <row r="2" ht="12.75">
      <c r="A2" s="108" t="s">
        <v>1</v>
      </c>
    </row>
    <row r="3" ht="12.75">
      <c r="A3" s="56"/>
    </row>
    <row r="4" spans="1:11" ht="12.75">
      <c r="A4" s="56"/>
      <c r="J4" s="99" t="s">
        <v>170</v>
      </c>
      <c r="K4" s="99"/>
    </row>
    <row r="5" spans="10:24" ht="13.5" customHeight="1" thickBot="1">
      <c r="J5" s="153" t="s">
        <v>171</v>
      </c>
      <c r="K5" s="99"/>
      <c r="L5" s="7" t="str">
        <f>"Transaction Prices Per "&amp;tgt&amp;" Share"</f>
        <v>Transaction Prices Per TargetCo Share</v>
      </c>
      <c r="M5" s="32"/>
      <c r="N5" s="32"/>
      <c r="O5" s="32"/>
      <c r="P5" s="32"/>
      <c r="Q5" s="32"/>
      <c r="R5" s="32"/>
      <c r="S5" s="32"/>
      <c r="T5" s="32"/>
      <c r="U5" s="32"/>
      <c r="V5" s="32"/>
      <c r="W5" s="32"/>
      <c r="X5" s="32"/>
    </row>
    <row r="6" spans="1:24" ht="13.5" customHeight="1" thickBot="1">
      <c r="A6" s="19"/>
      <c r="J6" s="154">
        <f>PPR!G5</f>
        <v>12.81</v>
      </c>
      <c r="L6" s="154">
        <f>PPR!I5</f>
        <v>12</v>
      </c>
      <c r="N6" s="154">
        <f>PPR!K5</f>
        <v>13</v>
      </c>
      <c r="P6" s="154">
        <f>PPR!M5</f>
        <v>14</v>
      </c>
      <c r="R6" s="154">
        <f>PPR!O5</f>
        <v>15</v>
      </c>
      <c r="T6" s="154">
        <f>PPR!Q5</f>
        <v>16</v>
      </c>
      <c r="V6" s="154">
        <f>PPR!S5</f>
        <v>17</v>
      </c>
      <c r="X6" s="154">
        <f>PPR!U5</f>
        <v>18</v>
      </c>
    </row>
    <row r="7" spans="1:24" ht="13.5" customHeight="1">
      <c r="A7" s="110"/>
      <c r="J7" s="159"/>
      <c r="L7" s="159"/>
      <c r="N7" s="159"/>
      <c r="P7" s="159"/>
      <c r="R7" s="159"/>
      <c r="T7" s="159"/>
      <c r="V7" s="159"/>
      <c r="X7" s="159"/>
    </row>
    <row r="8" spans="1:24" ht="12.75">
      <c r="A8" s="4" t="s">
        <v>186</v>
      </c>
      <c r="B8" s="155"/>
      <c r="C8" s="155"/>
      <c r="D8" s="155"/>
      <c r="E8" s="155"/>
      <c r="F8" s="155"/>
      <c r="G8" s="155"/>
      <c r="H8" s="155"/>
      <c r="I8" s="155"/>
      <c r="J8" s="155"/>
      <c r="K8" s="155"/>
      <c r="L8" s="155"/>
      <c r="M8" s="155"/>
      <c r="N8" s="155"/>
      <c r="O8" s="155"/>
      <c r="P8" s="155"/>
      <c r="Q8" s="155"/>
      <c r="R8" s="155"/>
      <c r="S8" s="155"/>
      <c r="T8" s="155"/>
      <c r="U8" s="155"/>
      <c r="V8" s="155"/>
      <c r="W8" s="155"/>
      <c r="X8" s="155"/>
    </row>
    <row r="9" spans="1:24" ht="13.5" customHeight="1">
      <c r="A9" s="19"/>
      <c r="J9" s="159"/>
      <c r="L9" s="159"/>
      <c r="N9" s="159"/>
      <c r="P9" s="159"/>
      <c r="R9" s="159"/>
      <c r="T9" s="159"/>
      <c r="V9" s="159"/>
      <c r="X9" s="159"/>
    </row>
    <row r="10" ht="12.75">
      <c r="A10" s="41" t="s">
        <v>187</v>
      </c>
    </row>
    <row r="11" spans="1:24" ht="12.75">
      <c r="A11" t="s">
        <v>188</v>
      </c>
      <c r="J11" s="33">
        <f>J125</f>
        <v>14.6</v>
      </c>
      <c r="L11" s="33">
        <f>L125</f>
        <v>14.6</v>
      </c>
      <c r="N11" s="33">
        <f>N125</f>
        <v>14.6</v>
      </c>
      <c r="P11" s="33">
        <f>P125</f>
        <v>14.6</v>
      </c>
      <c r="R11" s="33">
        <f>R125</f>
        <v>14.6</v>
      </c>
      <c r="T11" s="33">
        <f>T125</f>
        <v>14.6</v>
      </c>
      <c r="V11" s="33">
        <f>V125</f>
        <v>14.6</v>
      </c>
      <c r="X11" s="33">
        <f>X125</f>
        <v>14.6</v>
      </c>
    </row>
    <row r="12" spans="1:24" ht="12.75">
      <c r="A12" t="s">
        <v>189</v>
      </c>
      <c r="J12" s="88">
        <f>J126</f>
        <v>4</v>
      </c>
      <c r="L12" s="88">
        <f>L126</f>
        <v>4</v>
      </c>
      <c r="N12" s="88">
        <f>N126</f>
        <v>4</v>
      </c>
      <c r="P12" s="88">
        <f>P126</f>
        <v>4</v>
      </c>
      <c r="R12" s="88">
        <f>R126</f>
        <v>4</v>
      </c>
      <c r="T12" s="88">
        <f>T126</f>
        <v>4</v>
      </c>
      <c r="V12" s="88">
        <f>V126</f>
        <v>4</v>
      </c>
      <c r="X12" s="88">
        <f>X126</f>
        <v>4</v>
      </c>
    </row>
    <row r="13" spans="1:24" ht="12.75">
      <c r="A13" t="s">
        <v>184</v>
      </c>
      <c r="J13" s="33">
        <f>J134</f>
        <v>5.886247367372038</v>
      </c>
      <c r="L13" s="33">
        <f>L134</f>
        <v>5.299110048469171</v>
      </c>
      <c r="N13" s="33">
        <f>N134</f>
        <v>6.02605139451037</v>
      </c>
      <c r="P13" s="33">
        <f>P134</f>
        <v>6.773908033173065</v>
      </c>
      <c r="R13" s="33">
        <f>R134</f>
        <v>7.540399361357815</v>
      </c>
      <c r="T13" s="33">
        <f>T134</f>
        <v>8.323569119565457</v>
      </c>
      <c r="V13" s="33">
        <f>V134</f>
        <v>9.121728849999865</v>
      </c>
      <c r="X13" s="33">
        <f>X134</f>
        <v>9.933412903642836</v>
      </c>
    </row>
    <row r="14" spans="1:24" ht="13.5" customHeight="1" thickBot="1">
      <c r="A14" t="s">
        <v>190</v>
      </c>
      <c r="J14" s="12">
        <v>0.98</v>
      </c>
      <c r="L14" s="14">
        <f>J14</f>
        <v>0.98</v>
      </c>
      <c r="N14" s="14">
        <f>L14</f>
        <v>0.98</v>
      </c>
      <c r="P14" s="14">
        <f>N14</f>
        <v>0.98</v>
      </c>
      <c r="R14" s="14">
        <f>P14</f>
        <v>0.98</v>
      </c>
      <c r="T14" s="14">
        <f>R14</f>
        <v>0.98</v>
      </c>
      <c r="V14" s="14">
        <f>T14</f>
        <v>0.98</v>
      </c>
      <c r="X14" s="14">
        <f>V14</f>
        <v>0.98</v>
      </c>
    </row>
    <row r="15" spans="2:24" ht="12.75">
      <c r="B15" t="s">
        <v>191</v>
      </c>
      <c r="J15" s="160">
        <f>J13*J14</f>
        <v>5.768522420024597</v>
      </c>
      <c r="L15" s="160">
        <f>L13*L14</f>
        <v>5.193127847499787</v>
      </c>
      <c r="N15" s="160">
        <f>N13*N14</f>
        <v>5.905530366620162</v>
      </c>
      <c r="P15" s="160">
        <f>P13*P14</f>
        <v>6.638429872509604</v>
      </c>
      <c r="R15" s="160">
        <f>R13*R14</f>
        <v>7.389591374130658</v>
      </c>
      <c r="T15" s="160">
        <f>T13*T14</f>
        <v>8.157097737174148</v>
      </c>
      <c r="V15" s="160">
        <f>V13*V14</f>
        <v>8.939294272999868</v>
      </c>
      <c r="X15" s="160">
        <f>X13*X14</f>
        <v>9.734744645569979</v>
      </c>
    </row>
    <row r="17" ht="12.75">
      <c r="A17" s="41" t="s">
        <v>192</v>
      </c>
    </row>
    <row r="18" spans="1:24" ht="12.75">
      <c r="A18" t="str">
        <f>A11</f>
        <v>Weighted Average Strike</v>
      </c>
      <c r="J18" s="33">
        <f>J138</f>
        <v>29.49</v>
      </c>
      <c r="L18" s="33">
        <f>L138</f>
        <v>29.49</v>
      </c>
      <c r="N18" s="33">
        <f>N138</f>
        <v>29.49</v>
      </c>
      <c r="P18" s="33">
        <f>P138</f>
        <v>29.49</v>
      </c>
      <c r="R18" s="33">
        <f>R138</f>
        <v>29.49</v>
      </c>
      <c r="T18" s="33">
        <f>T138</f>
        <v>29.49</v>
      </c>
      <c r="V18" s="33">
        <f>V138</f>
        <v>29.49</v>
      </c>
      <c r="X18" s="33">
        <f>X138</f>
        <v>29.49</v>
      </c>
    </row>
    <row r="19" spans="1:24" ht="12.75">
      <c r="A19" t="str">
        <f>A12</f>
        <v>Weighted Average Remaining Term (yrs)</v>
      </c>
      <c r="J19" s="88">
        <f>J139</f>
        <v>2.7</v>
      </c>
      <c r="L19" s="88">
        <f>L139</f>
        <v>2.7</v>
      </c>
      <c r="N19" s="88">
        <f>N139</f>
        <v>2.7</v>
      </c>
      <c r="P19" s="88">
        <f>P139</f>
        <v>2.7</v>
      </c>
      <c r="R19" s="88">
        <f>R139</f>
        <v>2.7</v>
      </c>
      <c r="T19" s="88">
        <f>T139</f>
        <v>2.7</v>
      </c>
      <c r="V19" s="88">
        <f>V139</f>
        <v>2.7</v>
      </c>
      <c r="X19" s="88">
        <f>X139</f>
        <v>2.7</v>
      </c>
    </row>
    <row r="20" spans="1:24" ht="12.75">
      <c r="A20" t="str">
        <f>A13</f>
        <v>Black Scholes Value Per Option</v>
      </c>
      <c r="J20" s="33">
        <f>J147</f>
        <v>2.2752524218687022</v>
      </c>
      <c r="L20" s="33">
        <f>L147</f>
        <v>1.9583112953213129</v>
      </c>
      <c r="N20" s="33">
        <f>N147</f>
        <v>2.3525456696766165</v>
      </c>
      <c r="P20" s="33">
        <f>P147</f>
        <v>2.777110836826615</v>
      </c>
      <c r="R20" s="33">
        <f>R147</f>
        <v>3.2302488092015733</v>
      </c>
      <c r="T20" s="33">
        <f>T147</f>
        <v>3.710277342995905</v>
      </c>
      <c r="V20" s="33">
        <f>V147</f>
        <v>4.215599926259717</v>
      </c>
      <c r="X20" s="33">
        <f>X147</f>
        <v>4.744710088016267</v>
      </c>
    </row>
    <row r="21" spans="1:24" ht="13.5" customHeight="1" thickBot="1">
      <c r="A21" t="str">
        <f>A14</f>
        <v>Options Outstanding</v>
      </c>
      <c r="J21" s="12">
        <v>0.476441</v>
      </c>
      <c r="L21" s="14">
        <f>J21</f>
        <v>0.476441</v>
      </c>
      <c r="N21" s="14">
        <f>L21</f>
        <v>0.476441</v>
      </c>
      <c r="P21" s="14">
        <f>N21</f>
        <v>0.476441</v>
      </c>
      <c r="R21" s="14">
        <f>P21</f>
        <v>0.476441</v>
      </c>
      <c r="T21" s="14">
        <f>R21</f>
        <v>0.476441</v>
      </c>
      <c r="V21" s="14">
        <f>T21</f>
        <v>0.476441</v>
      </c>
      <c r="X21" s="14">
        <f>V21</f>
        <v>0.476441</v>
      </c>
    </row>
    <row r="22" spans="2:24" ht="12.75">
      <c r="B22" t="s">
        <v>193</v>
      </c>
      <c r="J22" s="160">
        <f>J20*J21</f>
        <v>1.0840235391275463</v>
      </c>
      <c r="L22" s="160">
        <f>L20*L21</f>
        <v>0.9330197918541816</v>
      </c>
      <c r="N22" s="160">
        <f>N20*N21</f>
        <v>1.1208492114063968</v>
      </c>
      <c r="P22" s="160">
        <f>P20*P21</f>
        <v>1.3231294642085094</v>
      </c>
      <c r="R22" s="160">
        <f>R20*R21</f>
        <v>1.5390229729048068</v>
      </c>
      <c r="T22" s="160">
        <f>T20*T21</f>
        <v>1.767728247574312</v>
      </c>
      <c r="V22" s="160">
        <f>V20*V21</f>
        <v>2.008484644467106</v>
      </c>
      <c r="X22" s="160">
        <f>X20*X21</f>
        <v>2.2605744190445582</v>
      </c>
    </row>
    <row r="23" ht="12.75">
      <c r="A23" s="110"/>
    </row>
    <row r="24" spans="1:24" ht="12.75">
      <c r="A24" s="4" t="s">
        <v>219</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row>
    <row r="26" spans="1:24" ht="12.75">
      <c r="A26" t="s">
        <v>220</v>
      </c>
      <c r="J26" s="135">
        <f>'S&amp;U'!F11</f>
        <v>448.62165</v>
      </c>
      <c r="L26" s="135">
        <f>'S&amp;U'!H11</f>
        <v>419.90273999999994</v>
      </c>
      <c r="N26" s="135">
        <f>'S&amp;U'!J11</f>
        <v>455.40674</v>
      </c>
      <c r="P26" s="135">
        <f>'S&amp;U'!L11</f>
        <v>491.11773999999997</v>
      </c>
      <c r="R26" s="135">
        <f>'S&amp;U'!N11</f>
        <v>526.8287399999999</v>
      </c>
      <c r="T26" s="135">
        <f>'S&amp;U'!P11</f>
        <v>562.5397399999999</v>
      </c>
      <c r="V26" s="135">
        <f>'S&amp;U'!R11</f>
        <v>598.25074</v>
      </c>
      <c r="X26" s="135">
        <f>'S&amp;U'!T11</f>
        <v>633.96174</v>
      </c>
    </row>
    <row r="27" spans="1:24" ht="12.75">
      <c r="A27" t="s">
        <v>191</v>
      </c>
      <c r="J27" s="88">
        <f>J15</f>
        <v>5.768522420024597</v>
      </c>
      <c r="L27" s="88">
        <f>L15</f>
        <v>5.193127847499787</v>
      </c>
      <c r="M27" s="88"/>
      <c r="N27" s="88">
        <f>N15</f>
        <v>5.905530366620162</v>
      </c>
      <c r="P27" s="88">
        <f>P15</f>
        <v>6.638429872509604</v>
      </c>
      <c r="R27" s="88">
        <f>R15</f>
        <v>7.389591374130658</v>
      </c>
      <c r="T27" s="88">
        <f>T15</f>
        <v>8.157097737174148</v>
      </c>
      <c r="V27" s="88">
        <f>V15</f>
        <v>8.939294272999868</v>
      </c>
      <c r="X27" s="88">
        <f>X15</f>
        <v>9.734744645569979</v>
      </c>
    </row>
    <row r="28" spans="1:24" ht="12.75">
      <c r="A28" t="s">
        <v>193</v>
      </c>
      <c r="J28" s="88">
        <f>J22</f>
        <v>1.0840235391275463</v>
      </c>
      <c r="L28" s="88">
        <f>L22</f>
        <v>0.9330197918541816</v>
      </c>
      <c r="N28" s="88">
        <f>N22</f>
        <v>1.1208492114063968</v>
      </c>
      <c r="P28" s="88">
        <f>P22</f>
        <v>1.3231294642085094</v>
      </c>
      <c r="R28" s="88">
        <f>R22</f>
        <v>1.5390229729048068</v>
      </c>
      <c r="T28" s="88">
        <f>T22</f>
        <v>1.767728247574312</v>
      </c>
      <c r="V28" s="88">
        <f>V22</f>
        <v>2.008484644467106</v>
      </c>
      <c r="X28" s="88">
        <f>X22</f>
        <v>2.2605744190445582</v>
      </c>
    </row>
    <row r="29" spans="1:24" ht="13.5" customHeight="1" thickBot="1">
      <c r="A29" t="s">
        <v>221</v>
      </c>
      <c r="J29" s="122">
        <f>'S&amp;U'!F13</f>
        <v>0</v>
      </c>
      <c r="L29" s="122">
        <f>'S&amp;U'!H13</f>
        <v>0</v>
      </c>
      <c r="N29" s="122">
        <f>'S&amp;U'!J13</f>
        <v>0</v>
      </c>
      <c r="P29" s="122">
        <f>'S&amp;U'!L13</f>
        <v>0</v>
      </c>
      <c r="R29" s="122">
        <f>'S&amp;U'!N13</f>
        <v>0</v>
      </c>
      <c r="T29" s="122">
        <f>'S&amp;U'!P13</f>
        <v>0</v>
      </c>
      <c r="V29" s="122">
        <f>'S&amp;U'!R13</f>
        <v>0</v>
      </c>
      <c r="X29" s="122">
        <f>'S&amp;U'!T13</f>
        <v>0</v>
      </c>
    </row>
    <row r="30" spans="2:24" s="110" customFormat="1" ht="12.75">
      <c r="B30" s="110" t="s">
        <v>222</v>
      </c>
      <c r="J30" s="160">
        <f>SUM(J26:J29)</f>
        <v>455.47419595915215</v>
      </c>
      <c r="K30" s="171"/>
      <c r="L30" s="160">
        <f>SUM(L26:L29)</f>
        <v>426.0288876393539</v>
      </c>
      <c r="N30" s="160">
        <f>SUM(N26:N29)</f>
        <v>462.43311957802655</v>
      </c>
      <c r="P30" s="160">
        <f>SUM(P26:P29)</f>
        <v>499.0792993367181</v>
      </c>
      <c r="R30" s="160">
        <f>SUM(R26:R29)</f>
        <v>535.7573543470354</v>
      </c>
      <c r="T30" s="160">
        <f>SUM(T26:T29)</f>
        <v>572.4645659847483</v>
      </c>
      <c r="V30" s="160">
        <f>SUM(V26:V29)</f>
        <v>609.1985189174669</v>
      </c>
      <c r="X30" s="160">
        <f>SUM(X26:X29)</f>
        <v>645.9570590646146</v>
      </c>
    </row>
    <row r="32" spans="1:24" ht="13.5" customHeight="1" thickBot="1">
      <c r="A32" t="s">
        <v>130</v>
      </c>
      <c r="J32" s="172">
        <f>J107</f>
        <v>0</v>
      </c>
      <c r="L32" s="172">
        <f>L107</f>
        <v>0</v>
      </c>
      <c r="N32" s="172">
        <f>N107</f>
        <v>0</v>
      </c>
      <c r="P32" s="172">
        <f>P107</f>
        <v>0</v>
      </c>
      <c r="R32" s="172">
        <f>R107</f>
        <v>0</v>
      </c>
      <c r="T32" s="172">
        <f>T107</f>
        <v>0</v>
      </c>
      <c r="V32" s="172">
        <f>V107</f>
        <v>0</v>
      </c>
      <c r="X32" s="172">
        <f>X107</f>
        <v>0</v>
      </c>
    </row>
    <row r="33" spans="2:24" ht="12.75">
      <c r="B33" t="s">
        <v>223</v>
      </c>
      <c r="J33" s="160">
        <f>J30-J32</f>
        <v>455.47419595915215</v>
      </c>
      <c r="L33" s="160">
        <f>L30-L32</f>
        <v>426.0288876393539</v>
      </c>
      <c r="N33" s="160">
        <f>N30-N32</f>
        <v>462.43311957802655</v>
      </c>
      <c r="P33" s="160">
        <f>P30-P32</f>
        <v>499.0792993367181</v>
      </c>
      <c r="R33" s="160">
        <f>R30-R32</f>
        <v>535.7573543470354</v>
      </c>
      <c r="T33" s="160">
        <f>T30-T32</f>
        <v>572.4645659847483</v>
      </c>
      <c r="V33" s="160">
        <f>V30-V32</f>
        <v>609.1985189174669</v>
      </c>
      <c r="X33" s="160">
        <f>X30-X32</f>
        <v>645.9570590646146</v>
      </c>
    </row>
    <row r="34" ht="12.75">
      <c r="A34" s="110"/>
    </row>
    <row r="35" spans="1:24" ht="12.75">
      <c r="A35" s="4" t="s">
        <v>77</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row>
    <row r="37" spans="1:24" ht="12.75">
      <c r="A37" t="str">
        <f>B33</f>
        <v>Adjusted Purchase Price</v>
      </c>
      <c r="J37" s="16">
        <f>J33</f>
        <v>455.47419595915215</v>
      </c>
      <c r="L37" s="16">
        <f>L33</f>
        <v>426.0288876393539</v>
      </c>
      <c r="N37" s="16">
        <f>N33</f>
        <v>462.43311957802655</v>
      </c>
      <c r="P37" s="16">
        <f>P33</f>
        <v>499.0792993367181</v>
      </c>
      <c r="R37" s="16">
        <f>R33</f>
        <v>535.7573543470354</v>
      </c>
      <c r="T37" s="16">
        <f>T33</f>
        <v>572.4645659847483</v>
      </c>
      <c r="V37" s="16">
        <f>V33</f>
        <v>609.1985189174669</v>
      </c>
      <c r="X37" s="16">
        <f>X33</f>
        <v>645.9570590646146</v>
      </c>
    </row>
    <row r="38" spans="1:24" ht="13.5" customHeight="1" thickBot="1">
      <c r="A38" t="s">
        <v>224</v>
      </c>
      <c r="J38" s="168">
        <f>-'PF BS'!K47</f>
        <v>-97.85300000000012</v>
      </c>
      <c r="L38" s="88">
        <f>J38</f>
        <v>-97.85300000000012</v>
      </c>
      <c r="N38" s="88">
        <f>L38</f>
        <v>-97.85300000000012</v>
      </c>
      <c r="P38" s="88">
        <f>N38</f>
        <v>-97.85300000000012</v>
      </c>
      <c r="R38" s="88">
        <f>P38</f>
        <v>-97.85300000000012</v>
      </c>
      <c r="T38" s="88">
        <f>R38</f>
        <v>-97.85300000000012</v>
      </c>
      <c r="V38" s="88">
        <f>T38</f>
        <v>-97.85300000000012</v>
      </c>
      <c r="X38" s="88">
        <f>V38</f>
        <v>-97.85300000000012</v>
      </c>
    </row>
    <row r="39" spans="2:24" ht="12.75">
      <c r="B39" t="s">
        <v>225</v>
      </c>
      <c r="J39" s="160">
        <f>SUM(J37:J38)</f>
        <v>357.62119595915203</v>
      </c>
      <c r="L39" s="160">
        <f>SUM(L37:L38)</f>
        <v>328.1758876393538</v>
      </c>
      <c r="N39" s="160">
        <f>SUM(N37:N38)</f>
        <v>364.5801195780264</v>
      </c>
      <c r="P39" s="160">
        <f>SUM(P37:P38)</f>
        <v>401.226299336718</v>
      </c>
      <c r="R39" s="160">
        <f>SUM(R37:R38)</f>
        <v>437.9043543470353</v>
      </c>
      <c r="T39" s="160">
        <f>SUM(T37:T38)</f>
        <v>474.6115659847482</v>
      </c>
      <c r="V39" s="160">
        <f>SUM(V37:V38)</f>
        <v>511.3455189174668</v>
      </c>
      <c r="X39" s="160">
        <f>SUM(X37:X38)</f>
        <v>548.1040590646144</v>
      </c>
    </row>
    <row r="41" spans="1:24" ht="12.75">
      <c r="A41" t="s">
        <v>226</v>
      </c>
      <c r="J41" s="173">
        <f>Assumptions!T35</f>
        <v>15</v>
      </c>
      <c r="L41" s="16">
        <f>J41</f>
        <v>15</v>
      </c>
      <c r="N41" s="16">
        <f>L41</f>
        <v>15</v>
      </c>
      <c r="P41" s="16">
        <f>N41</f>
        <v>15</v>
      </c>
      <c r="R41" s="16">
        <f>P41</f>
        <v>15</v>
      </c>
      <c r="T41" s="16">
        <f>R41</f>
        <v>15</v>
      </c>
      <c r="V41" s="16">
        <f>T41</f>
        <v>15</v>
      </c>
      <c r="X41" s="16">
        <f>V41</f>
        <v>15</v>
      </c>
    </row>
    <row r="42" spans="1:24" ht="12.75">
      <c r="A42" t="s">
        <v>227</v>
      </c>
      <c r="J42" s="88">
        <f>J55</f>
        <v>89.40529898978801</v>
      </c>
      <c r="L42" s="88">
        <f>L55</f>
        <v>82.04397190983845</v>
      </c>
      <c r="N42" s="88">
        <f>N55</f>
        <v>91.1450298945066</v>
      </c>
      <c r="P42" s="88">
        <f>P55</f>
        <v>100.3065748341795</v>
      </c>
      <c r="R42" s="88">
        <f>R55</f>
        <v>109.47608858675882</v>
      </c>
      <c r="T42" s="88">
        <f>T55</f>
        <v>118.65289149618705</v>
      </c>
      <c r="V42" s="88">
        <f>V55</f>
        <v>127.8363797293667</v>
      </c>
      <c r="X42" s="88">
        <f>X55</f>
        <v>137.0260147661536</v>
      </c>
    </row>
    <row r="43" spans="1:24" ht="12.75">
      <c r="A43" t="s">
        <v>228</v>
      </c>
      <c r="J43" s="122">
        <f>-'PF BS'!K16</f>
        <v>-61.094</v>
      </c>
      <c r="L43" s="88">
        <f>J43</f>
        <v>-61.094</v>
      </c>
      <c r="N43" s="88">
        <f>L43</f>
        <v>-61.094</v>
      </c>
      <c r="P43" s="88">
        <f>N43</f>
        <v>-61.094</v>
      </c>
      <c r="R43" s="88">
        <f>P43</f>
        <v>-61.094</v>
      </c>
      <c r="T43" s="88">
        <f>R43</f>
        <v>-61.094</v>
      </c>
      <c r="V43" s="88">
        <f>T43</f>
        <v>-61.094</v>
      </c>
      <c r="X43" s="88">
        <f>V43</f>
        <v>-61.094</v>
      </c>
    </row>
    <row r="44" spans="1:24" ht="13.5" customHeight="1" thickBot="1">
      <c r="A44" t="s">
        <v>229</v>
      </c>
      <c r="J44" s="122">
        <f>'PF BS'!K37</f>
        <v>0</v>
      </c>
      <c r="L44" s="88">
        <f>J44</f>
        <v>0</v>
      </c>
      <c r="N44" s="88">
        <f>L44</f>
        <v>0</v>
      </c>
      <c r="P44" s="88">
        <f>N44</f>
        <v>0</v>
      </c>
      <c r="R44" s="88">
        <f>P44</f>
        <v>0</v>
      </c>
      <c r="T44" s="88">
        <f>R44</f>
        <v>0</v>
      </c>
      <c r="V44" s="88">
        <f>T44</f>
        <v>0</v>
      </c>
      <c r="X44" s="88">
        <f>V44</f>
        <v>0</v>
      </c>
    </row>
    <row r="45" spans="2:24" ht="12.75" customHeight="1">
      <c r="B45" t="s">
        <v>230</v>
      </c>
      <c r="J45" s="174">
        <f>J39-SUM(J41:J44)</f>
        <v>314.30989696936405</v>
      </c>
      <c r="L45" s="174">
        <f>L39-SUM(L41:L44)</f>
        <v>292.22591572951535</v>
      </c>
      <c r="N45" s="174">
        <f>N39-SUM(N41:N44)</f>
        <v>319.5290896835198</v>
      </c>
      <c r="P45" s="174">
        <f>P39-SUM(P41:P44)</f>
        <v>347.0137245025385</v>
      </c>
      <c r="R45" s="174">
        <f>R39-SUM(R41:R44)</f>
        <v>374.52226576027647</v>
      </c>
      <c r="T45" s="174">
        <f>T39-SUM(T41:T44)</f>
        <v>402.05267448856114</v>
      </c>
      <c r="V45" s="174">
        <f>V39-SUM(V41:V44)</f>
        <v>429.6031391881001</v>
      </c>
      <c r="X45" s="174">
        <f>X39-SUM(X41:X44)</f>
        <v>457.1720442984608</v>
      </c>
    </row>
    <row r="47" spans="1:24" ht="12.75">
      <c r="A47" t="s">
        <v>231</v>
      </c>
      <c r="J47" s="135">
        <f>IF(OR(sec_338=1,type=1),0,-SUM(J41:J42)*tax_rate)</f>
        <v>-14.374642614536032</v>
      </c>
      <c r="L47" s="135">
        <f>IF(OR(sec_338=1,type=1),0,-SUM(L41:L42)*tax_rate)</f>
        <v>-13.361126567296601</v>
      </c>
      <c r="N47" s="135">
        <f>IF(OR(sec_338=1,type=1),0,-SUM(N41:N42)*tax_rate)</f>
        <v>-14.614170782577</v>
      </c>
      <c r="P47" s="135">
        <f>IF(OR(sec_338=1,type=1),0,-SUM(P41:P42)*tax_rate)</f>
        <v>-15.875542911952254</v>
      </c>
      <c r="R47" s="135">
        <f>IF(OR(sec_338=1,type=1),0,-SUM(R41:R42)*tax_rate)</f>
        <v>-17.13801219672767</v>
      </c>
      <c r="S47" s="135"/>
      <c r="T47" s="135">
        <f>IF(OR(sec_338=1,type=1),0,-SUM(T41:T42)*tax_rate)</f>
        <v>-18.401485061069238</v>
      </c>
      <c r="U47" s="135"/>
      <c r="V47" s="135">
        <f>IF(OR(sec_338=1,type=1),0,-SUM(V41:V42)*tax_rate)</f>
        <v>-19.665878368535996</v>
      </c>
      <c r="W47" s="135"/>
      <c r="X47" s="135">
        <f>IF(OR(sec_338=1,type=1),0,-SUM(X41:X42)*tax_rate)</f>
        <v>-20.931117975050135</v>
      </c>
    </row>
    <row r="48" spans="1:24" ht="12.75" customHeight="1" thickBot="1">
      <c r="A48" t="s">
        <v>232</v>
      </c>
      <c r="J48" s="66">
        <v>0</v>
      </c>
      <c r="L48" s="88">
        <f>J48</f>
        <v>0</v>
      </c>
      <c r="N48" s="88">
        <f>L48</f>
        <v>0</v>
      </c>
      <c r="O48" s="88"/>
      <c r="P48" s="88">
        <f>N48</f>
        <v>0</v>
      </c>
      <c r="R48" s="88">
        <f>P48</f>
        <v>0</v>
      </c>
      <c r="T48" s="88">
        <f>R48</f>
        <v>0</v>
      </c>
      <c r="V48" s="88">
        <f>T48</f>
        <v>0</v>
      </c>
      <c r="X48" s="88">
        <f>V48</f>
        <v>0</v>
      </c>
    </row>
    <row r="49" spans="2:24" ht="12.75">
      <c r="B49" t="s">
        <v>233</v>
      </c>
      <c r="J49" s="160">
        <f>J45-SUM(J47:J48)</f>
        <v>328.68453958390006</v>
      </c>
      <c r="L49" s="160">
        <f>L45-SUM(L47:L48)</f>
        <v>305.58704229681194</v>
      </c>
      <c r="N49" s="160">
        <f>N45-SUM(N47:N48)</f>
        <v>334.1432604660968</v>
      </c>
      <c r="P49" s="160">
        <f>P45-SUM(P47:P48)</f>
        <v>362.88926741449075</v>
      </c>
      <c r="R49" s="160">
        <f>R45-SUM(R47:R48)</f>
        <v>391.66027795700415</v>
      </c>
      <c r="T49" s="160">
        <f>T45-SUM(T47:T48)</f>
        <v>420.4541595496304</v>
      </c>
      <c r="V49" s="160">
        <f>V45-SUM(V47:V48)</f>
        <v>449.2690175566361</v>
      </c>
      <c r="X49" s="160">
        <f>X45-SUM(X47:X48)</f>
        <v>478.1031622735109</v>
      </c>
    </row>
    <row r="51" spans="1:24" ht="12.75">
      <c r="A51" s="4" t="s">
        <v>234</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row>
    <row r="53" spans="1:24" ht="12.75" customHeight="1">
      <c r="A53" t="s">
        <v>235</v>
      </c>
      <c r="J53" s="175">
        <f>J33+J38</f>
        <v>357.62119595915203</v>
      </c>
      <c r="L53" s="175">
        <f>L33+L38</f>
        <v>328.1758876393538</v>
      </c>
      <c r="N53" s="175">
        <f>N33+N38</f>
        <v>364.5801195780264</v>
      </c>
      <c r="P53" s="175">
        <f>P33+P38</f>
        <v>401.226299336718</v>
      </c>
      <c r="R53" s="175">
        <f>R33+R38</f>
        <v>437.9043543470353</v>
      </c>
      <c r="T53" s="175">
        <f>T33+T38</f>
        <v>474.6115659847482</v>
      </c>
      <c r="V53" s="175">
        <f>V33+V38</f>
        <v>511.3455189174668</v>
      </c>
      <c r="X53" s="175">
        <f>X33+X38</f>
        <v>548.1040590646144</v>
      </c>
    </row>
    <row r="54" spans="1:24" s="56" customFormat="1" ht="13.5" customHeight="1" thickBot="1">
      <c r="A54" s="56" t="s">
        <v>236</v>
      </c>
      <c r="J54" s="53">
        <f>Assumptions!T33</f>
        <v>0.25</v>
      </c>
      <c r="L54" s="62">
        <f>J54</f>
        <v>0.25</v>
      </c>
      <c r="N54" s="62">
        <f>L54</f>
        <v>0.25</v>
      </c>
      <c r="P54" s="62">
        <f>N54</f>
        <v>0.25</v>
      </c>
      <c r="R54" s="62">
        <f>P54</f>
        <v>0.25</v>
      </c>
      <c r="T54" s="62">
        <f>R54</f>
        <v>0.25</v>
      </c>
      <c r="V54" s="62">
        <f>T54</f>
        <v>0.25</v>
      </c>
      <c r="X54" s="62">
        <f>V54</f>
        <v>0.25</v>
      </c>
    </row>
    <row r="55" spans="2:24" ht="12.75">
      <c r="B55" t="s">
        <v>237</v>
      </c>
      <c r="J55" s="160">
        <f>J53*J54</f>
        <v>89.40529898978801</v>
      </c>
      <c r="L55" s="160">
        <f>L53*L54</f>
        <v>82.04397190983845</v>
      </c>
      <c r="N55" s="160">
        <f>N53*N54</f>
        <v>91.1450298945066</v>
      </c>
      <c r="P55" s="160">
        <f>P53*P54</f>
        <v>100.3065748341795</v>
      </c>
      <c r="R55" s="160">
        <f>R53*R54</f>
        <v>109.47608858675882</v>
      </c>
      <c r="T55" s="160">
        <f>T53*T54</f>
        <v>118.65289149618705</v>
      </c>
      <c r="V55" s="160">
        <f>V53*V54</f>
        <v>127.8363797293667</v>
      </c>
      <c r="X55" s="160">
        <f>X53*X54</f>
        <v>137.0260147661536</v>
      </c>
    </row>
    <row r="56" spans="1:24" ht="13.5" customHeight="1" thickBot="1">
      <c r="A56" t="s">
        <v>79</v>
      </c>
      <c r="J56" s="122">
        <f>Assumptions!T34</f>
        <v>5</v>
      </c>
      <c r="L56" s="88">
        <f>J56</f>
        <v>5</v>
      </c>
      <c r="N56" s="88">
        <f>L56</f>
        <v>5</v>
      </c>
      <c r="P56" s="88">
        <f>N56</f>
        <v>5</v>
      </c>
      <c r="R56" s="88">
        <f>P56</f>
        <v>5</v>
      </c>
      <c r="T56" s="88">
        <f>R56</f>
        <v>5</v>
      </c>
      <c r="V56" s="88">
        <f>T56</f>
        <v>5</v>
      </c>
      <c r="X56" s="88">
        <f>V56</f>
        <v>5</v>
      </c>
    </row>
    <row r="57" spans="2:24" ht="12.75">
      <c r="B57" t="s">
        <v>238</v>
      </c>
      <c r="J57" s="160">
        <f>J55/J56</f>
        <v>17.8810597979576</v>
      </c>
      <c r="L57" s="160">
        <f>L55/L56</f>
        <v>16.408794381967688</v>
      </c>
      <c r="N57" s="160">
        <f>N55/N56</f>
        <v>18.22900597890132</v>
      </c>
      <c r="P57" s="160">
        <f>P55/P56</f>
        <v>20.0613149668359</v>
      </c>
      <c r="R57" s="160">
        <f>R55/R56</f>
        <v>21.895217717351763</v>
      </c>
      <c r="T57" s="160">
        <f>T55/T56</f>
        <v>23.73057829923741</v>
      </c>
      <c r="V57" s="160">
        <f>V55/V56</f>
        <v>25.56727594587334</v>
      </c>
      <c r="X57" s="160">
        <f>X55/X56</f>
        <v>27.40520295323072</v>
      </c>
    </row>
    <row r="59" spans="1:24" ht="13.5" customHeight="1" thickBot="1">
      <c r="A59" s="56" t="s">
        <v>239</v>
      </c>
      <c r="J59" s="53">
        <f>tax_rate</f>
        <v>0.13768115942028988</v>
      </c>
      <c r="L59" s="62">
        <f>J59</f>
        <v>0.13768115942028988</v>
      </c>
      <c r="N59" s="62">
        <f>L59</f>
        <v>0.13768115942028988</v>
      </c>
      <c r="P59" s="62">
        <f>N59</f>
        <v>0.13768115942028988</v>
      </c>
      <c r="R59" s="62">
        <f>P59</f>
        <v>0.13768115942028988</v>
      </c>
      <c r="T59" s="62">
        <f>R59</f>
        <v>0.13768115942028988</v>
      </c>
      <c r="V59" s="62">
        <f>T59</f>
        <v>0.13768115942028988</v>
      </c>
      <c r="X59" s="62">
        <f>V59</f>
        <v>0.13768115942028988</v>
      </c>
    </row>
    <row r="60" spans="2:24" ht="12.75">
      <c r="B60" t="s">
        <v>240</v>
      </c>
      <c r="J60" s="160">
        <f>J57*(1-J59)</f>
        <v>15.419174753311264</v>
      </c>
      <c r="L60" s="160">
        <f>L57*(1-L59)</f>
        <v>14.149612546769237</v>
      </c>
      <c r="N60" s="160">
        <f>N57*(1-N59)</f>
        <v>15.71921530064679</v>
      </c>
      <c r="P60" s="160">
        <f>P57*(1-P59)</f>
        <v>17.29924986270632</v>
      </c>
      <c r="R60" s="160">
        <f>R57*(1-R59)</f>
        <v>18.8806587562671</v>
      </c>
      <c r="T60" s="160">
        <f>T57*(1-T59)</f>
        <v>20.463324765284433</v>
      </c>
      <c r="V60" s="160">
        <f>V57*(1-V59)</f>
        <v>22.04714375042701</v>
      </c>
      <c r="X60" s="160">
        <f>X57*(1-X59)</f>
        <v>23.63202283648156</v>
      </c>
    </row>
    <row r="62" spans="1:24" ht="12.75">
      <c r="A62" s="4" t="s">
        <v>241</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row>
    <row r="64" spans="1:24" ht="12.75">
      <c r="A64" t="s">
        <v>226</v>
      </c>
      <c r="J64" s="16">
        <f>J41</f>
        <v>15</v>
      </c>
      <c r="L64" s="16">
        <f>L41</f>
        <v>15</v>
      </c>
      <c r="N64" s="16">
        <f>N41</f>
        <v>15</v>
      </c>
      <c r="P64" s="16">
        <f>P41</f>
        <v>15</v>
      </c>
      <c r="R64" s="16">
        <f>R41</f>
        <v>15</v>
      </c>
      <c r="T64" s="16">
        <f>T41</f>
        <v>15</v>
      </c>
      <c r="V64" s="16">
        <f>V41</f>
        <v>15</v>
      </c>
      <c r="X64" s="16">
        <f>X41</f>
        <v>15</v>
      </c>
    </row>
    <row r="65" spans="1:24" ht="13.5" customHeight="1" thickBot="1">
      <c r="A65" t="s">
        <v>81</v>
      </c>
      <c r="J65" s="176">
        <f>Assumptions!T36</f>
        <v>10</v>
      </c>
      <c r="L65" s="177">
        <f>J65</f>
        <v>10</v>
      </c>
      <c r="N65" s="177">
        <f>L65</f>
        <v>10</v>
      </c>
      <c r="P65" s="177">
        <f>N65</f>
        <v>10</v>
      </c>
      <c r="R65" s="177">
        <f>P65</f>
        <v>10</v>
      </c>
      <c r="T65" s="177">
        <f>R65</f>
        <v>10</v>
      </c>
      <c r="V65" s="177">
        <f>T65</f>
        <v>10</v>
      </c>
      <c r="X65" s="177">
        <f>V65</f>
        <v>10</v>
      </c>
    </row>
    <row r="66" spans="2:24" ht="12.75">
      <c r="B66" t="s">
        <v>242</v>
      </c>
      <c r="J66" s="160">
        <f>J64/J65</f>
        <v>1.5</v>
      </c>
      <c r="L66" s="160">
        <f>L64/L65</f>
        <v>1.5</v>
      </c>
      <c r="N66" s="160">
        <f>N64/N65</f>
        <v>1.5</v>
      </c>
      <c r="P66" s="160">
        <f>P64/P65</f>
        <v>1.5</v>
      </c>
      <c r="R66" s="160">
        <f>R64/R65</f>
        <v>1.5</v>
      </c>
      <c r="T66" s="160">
        <f>T64/T65</f>
        <v>1.5</v>
      </c>
      <c r="V66" s="160">
        <f>V64/V65</f>
        <v>1.5</v>
      </c>
      <c r="X66" s="160">
        <f>X64/X65</f>
        <v>1.5</v>
      </c>
    </row>
    <row r="67" spans="12:24" ht="12.75">
      <c r="L67" s="171"/>
      <c r="N67" s="171"/>
      <c r="P67" s="171"/>
      <c r="R67" s="171"/>
      <c r="T67" s="171"/>
      <c r="V67" s="171"/>
      <c r="X67" s="171"/>
    </row>
    <row r="68" spans="1:24" ht="13.5" customHeight="1" thickBot="1">
      <c r="A68" s="56" t="s">
        <v>239</v>
      </c>
      <c r="J68" s="178">
        <f>tax_rate</f>
        <v>0.13768115942028988</v>
      </c>
      <c r="L68" s="179">
        <f>J68</f>
        <v>0.13768115942028988</v>
      </c>
      <c r="N68" s="179">
        <f>L68</f>
        <v>0.13768115942028988</v>
      </c>
      <c r="P68" s="179">
        <f>N68</f>
        <v>0.13768115942028988</v>
      </c>
      <c r="R68" s="179">
        <f>P68</f>
        <v>0.13768115942028988</v>
      </c>
      <c r="T68" s="179">
        <f>R68</f>
        <v>0.13768115942028988</v>
      </c>
      <c r="V68" s="179">
        <f>T68</f>
        <v>0.13768115942028988</v>
      </c>
      <c r="X68" s="179">
        <f>V68</f>
        <v>0.13768115942028988</v>
      </c>
    </row>
    <row r="69" spans="2:24" ht="12.75">
      <c r="B69" t="s">
        <v>243</v>
      </c>
      <c r="J69" s="160">
        <f>J66*(1-J68)</f>
        <v>1.2934782608695652</v>
      </c>
      <c r="L69" s="160">
        <f>L66*(1-L68)</f>
        <v>1.2934782608695652</v>
      </c>
      <c r="N69" s="160">
        <f>N66*(1-N68)</f>
        <v>1.2934782608695652</v>
      </c>
      <c r="P69" s="160">
        <f>P66*(1-P68)</f>
        <v>1.2934782608695652</v>
      </c>
      <c r="R69" s="160">
        <f>R66*(1-R68)</f>
        <v>1.2934782608695652</v>
      </c>
      <c r="T69" s="160">
        <f>T66*(1-T68)</f>
        <v>1.2934782608695652</v>
      </c>
      <c r="V69" s="160">
        <f>V66*(1-V68)</f>
        <v>1.2934782608695652</v>
      </c>
      <c r="X69" s="160">
        <f>X66*(1-X68)</f>
        <v>1.2934782608695652</v>
      </c>
    </row>
    <row r="70" ht="12.75">
      <c r="A70" s="110"/>
    </row>
    <row r="71" spans="1:24" ht="12.75">
      <c r="A71" s="4" t="s">
        <v>244</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row>
    <row r="73" spans="1:24" ht="12.75">
      <c r="A73" t="s">
        <v>245</v>
      </c>
      <c r="J73" s="16">
        <f>J93</f>
        <v>0</v>
      </c>
      <c r="K73" s="141"/>
      <c r="L73" s="16">
        <f>L91</f>
        <v>0</v>
      </c>
      <c r="M73" s="141"/>
      <c r="N73" s="16">
        <f>N91</f>
        <v>0</v>
      </c>
      <c r="O73" s="141"/>
      <c r="P73" s="16">
        <f>P91</f>
        <v>0</v>
      </c>
      <c r="Q73" s="141"/>
      <c r="R73" s="16">
        <f>R91</f>
        <v>0</v>
      </c>
      <c r="S73" s="141"/>
      <c r="T73" s="16">
        <f>T91</f>
        <v>0</v>
      </c>
      <c r="U73" s="141"/>
      <c r="V73" s="16">
        <f>V91</f>
        <v>0</v>
      </c>
      <c r="W73" s="141"/>
      <c r="X73" s="16">
        <f>X91</f>
        <v>0</v>
      </c>
    </row>
    <row r="74" spans="1:24" ht="12.75">
      <c r="A74" t="s">
        <v>246</v>
      </c>
      <c r="J74" s="88">
        <f>J107</f>
        <v>0</v>
      </c>
      <c r="K74" s="141"/>
      <c r="L74" s="88">
        <f>L105</f>
        <v>0</v>
      </c>
      <c r="M74" s="141"/>
      <c r="N74" s="88">
        <f>N105</f>
        <v>0</v>
      </c>
      <c r="O74" s="141"/>
      <c r="P74" s="88">
        <f>P105</f>
        <v>0</v>
      </c>
      <c r="Q74" s="141"/>
      <c r="R74" s="88">
        <f>R105</f>
        <v>0</v>
      </c>
      <c r="S74" s="141"/>
      <c r="T74" s="88">
        <f>T105</f>
        <v>0</v>
      </c>
      <c r="U74" s="141"/>
      <c r="V74" s="88">
        <f>V105</f>
        <v>0</v>
      </c>
      <c r="W74" s="141"/>
      <c r="X74" s="88">
        <f>X105</f>
        <v>0</v>
      </c>
    </row>
    <row r="75" spans="1:24" ht="12.75">
      <c r="A75" t="s">
        <v>202</v>
      </c>
      <c r="J75" s="88">
        <f>J121</f>
        <v>0</v>
      </c>
      <c r="K75" s="141"/>
      <c r="L75" s="88">
        <f>L119</f>
        <v>0</v>
      </c>
      <c r="M75" s="141"/>
      <c r="N75" s="88">
        <f>N119</f>
        <v>0</v>
      </c>
      <c r="O75" s="141"/>
      <c r="P75" s="88">
        <f>P119</f>
        <v>0</v>
      </c>
      <c r="Q75" s="141"/>
      <c r="R75" s="88">
        <f>R119</f>
        <v>0</v>
      </c>
      <c r="S75" s="141"/>
      <c r="T75" s="88">
        <f>T119</f>
        <v>0</v>
      </c>
      <c r="U75" s="141"/>
      <c r="V75" s="88">
        <f>V119</f>
        <v>0</v>
      </c>
      <c r="W75" s="141"/>
      <c r="X75" s="88">
        <f>X119</f>
        <v>0</v>
      </c>
    </row>
    <row r="76" spans="1:24" s="180" customFormat="1" ht="13.5" customHeight="1" thickBot="1">
      <c r="A76" s="180" t="s">
        <v>247</v>
      </c>
      <c r="J76" s="53">
        <f>tax_rate</f>
        <v>0.13768115942028988</v>
      </c>
      <c r="L76" s="62">
        <f>J76</f>
        <v>0.13768115942028988</v>
      </c>
      <c r="N76" s="62">
        <f>L76</f>
        <v>0.13768115942028988</v>
      </c>
      <c r="P76" s="62">
        <f>N76</f>
        <v>0.13768115942028988</v>
      </c>
      <c r="R76" s="62">
        <f>P76</f>
        <v>0.13768115942028988</v>
      </c>
      <c r="T76" s="62">
        <f>R76</f>
        <v>0.13768115942028988</v>
      </c>
      <c r="V76" s="62">
        <f>T76</f>
        <v>0.13768115942028988</v>
      </c>
      <c r="X76" s="62">
        <f>V76</f>
        <v>0.13768115942028988</v>
      </c>
    </row>
    <row r="77" spans="2:24" ht="12.75">
      <c r="B77" t="s">
        <v>248</v>
      </c>
      <c r="J77" s="160">
        <f>J75*(1-J76)</f>
        <v>0</v>
      </c>
      <c r="L77" s="160">
        <f>L75*(1-L76)</f>
        <v>0</v>
      </c>
      <c r="N77" s="160">
        <f>N75*(1-N76)</f>
        <v>0</v>
      </c>
      <c r="P77" s="160">
        <f>P75*(1-P76)</f>
        <v>0</v>
      </c>
      <c r="R77" s="160">
        <f>R75*(1-R76)</f>
        <v>0</v>
      </c>
      <c r="T77" s="160">
        <f>T75*(1-T76)</f>
        <v>0</v>
      </c>
      <c r="V77" s="160">
        <f>V75*(1-V76)</f>
        <v>0</v>
      </c>
      <c r="X77" s="160">
        <f>X75*(1-X76)</f>
        <v>0</v>
      </c>
    </row>
    <row r="78" ht="12.75">
      <c r="A78" s="110"/>
    </row>
    <row r="79" spans="1:24" ht="12.75">
      <c r="A79" s="4" t="s">
        <v>172</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row>
    <row r="81" spans="10:24" s="99" customFormat="1" ht="13.5" customHeight="1" thickBot="1">
      <c r="J81" s="7" t="s">
        <v>194</v>
      </c>
      <c r="K81" s="7"/>
      <c r="L81" s="7"/>
      <c r="M81" s="7"/>
      <c r="N81" s="7"/>
      <c r="O81" s="7"/>
      <c r="P81" s="7"/>
      <c r="Q81" s="7"/>
      <c r="R81" s="7"/>
      <c r="S81" s="7"/>
      <c r="T81" s="7"/>
      <c r="U81" s="7"/>
      <c r="V81" s="7"/>
      <c r="W81" s="7"/>
      <c r="X81" s="7"/>
    </row>
    <row r="82" spans="4:24" ht="13.5" customHeight="1" thickBot="1">
      <c r="D82" s="153" t="s">
        <v>195</v>
      </c>
      <c r="E82" s="161"/>
      <c r="F82" s="153" t="s">
        <v>196</v>
      </c>
      <c r="G82" s="161"/>
      <c r="H82" s="161"/>
      <c r="J82" s="127">
        <f>J$6</f>
        <v>12.81</v>
      </c>
      <c r="K82" s="161"/>
      <c r="L82" s="127">
        <f>L$6</f>
        <v>12</v>
      </c>
      <c r="M82" s="99"/>
      <c r="N82" s="127">
        <f>N$6</f>
        <v>13</v>
      </c>
      <c r="O82" s="99"/>
      <c r="P82" s="127">
        <f>P$6</f>
        <v>14</v>
      </c>
      <c r="Q82" s="99"/>
      <c r="R82" s="127">
        <f>R$6</f>
        <v>15</v>
      </c>
      <c r="S82" s="99"/>
      <c r="T82" s="127">
        <f>T$6</f>
        <v>16</v>
      </c>
      <c r="U82" s="99"/>
      <c r="V82" s="127">
        <f>V$6</f>
        <v>17</v>
      </c>
      <c r="W82" s="99"/>
      <c r="X82" s="127">
        <f>X$6</f>
        <v>18</v>
      </c>
    </row>
    <row r="83" spans="1:24" ht="12.75">
      <c r="A83" t="s">
        <v>45</v>
      </c>
      <c r="D83" s="12">
        <v>0</v>
      </c>
      <c r="F83" s="10">
        <v>0</v>
      </c>
      <c r="G83" s="10"/>
      <c r="H83" s="10"/>
      <c r="J83" s="16">
        <f aca="true" t="shared" si="0" ref="J83:J92">MAX(0,J$82-$F83)*$D83</f>
        <v>0</v>
      </c>
      <c r="L83" s="16">
        <f aca="true" t="shared" si="1" ref="L83:L92">MAX(0,L$82-$F83)*$D83</f>
        <v>0</v>
      </c>
      <c r="N83" s="16">
        <f aca="true" t="shared" si="2" ref="N83:N92">MAX(0,N$82-$F83)*$D83</f>
        <v>0</v>
      </c>
      <c r="P83" s="16">
        <f aca="true" t="shared" si="3" ref="P83:P92">MAX(0,P$82-$F83)*$D83</f>
        <v>0</v>
      </c>
      <c r="R83" s="16">
        <f aca="true" t="shared" si="4" ref="R83:R92">MAX(0,R$82-$F83)*$D83</f>
        <v>0</v>
      </c>
      <c r="T83" s="16">
        <f aca="true" t="shared" si="5" ref="T83:T92">MAX(0,T$82-$F83)*$D83</f>
        <v>0</v>
      </c>
      <c r="V83" s="16">
        <f aca="true" t="shared" si="6" ref="V83:V92">MAX(0,V$82-$F83)*$D83</f>
        <v>0</v>
      </c>
      <c r="X83" s="16">
        <f aca="true" t="shared" si="7" ref="X83:X92">MAX(0,X$82-$F83)*$D83</f>
        <v>0</v>
      </c>
    </row>
    <row r="84" spans="1:24" ht="12.75">
      <c r="A84" t="s">
        <v>46</v>
      </c>
      <c r="D84" s="12">
        <v>0</v>
      </c>
      <c r="F84" s="10">
        <v>0</v>
      </c>
      <c r="G84" s="10"/>
      <c r="H84" s="10"/>
      <c r="J84" s="88">
        <f t="shared" si="0"/>
        <v>0</v>
      </c>
      <c r="L84" s="88">
        <f t="shared" si="1"/>
        <v>0</v>
      </c>
      <c r="N84" s="88">
        <f t="shared" si="2"/>
        <v>0</v>
      </c>
      <c r="P84" s="88">
        <f t="shared" si="3"/>
        <v>0</v>
      </c>
      <c r="R84" s="88">
        <f t="shared" si="4"/>
        <v>0</v>
      </c>
      <c r="T84" s="88">
        <f t="shared" si="5"/>
        <v>0</v>
      </c>
      <c r="V84" s="88">
        <f t="shared" si="6"/>
        <v>0</v>
      </c>
      <c r="X84" s="88">
        <f t="shared" si="7"/>
        <v>0</v>
      </c>
    </row>
    <row r="85" spans="1:24" ht="12.75">
      <c r="A85" t="s">
        <v>47</v>
      </c>
      <c r="D85" s="12">
        <v>0</v>
      </c>
      <c r="F85" s="10">
        <v>0</v>
      </c>
      <c r="G85" s="10"/>
      <c r="H85" s="10"/>
      <c r="J85" s="88">
        <f t="shared" si="0"/>
        <v>0</v>
      </c>
      <c r="L85" s="88">
        <f t="shared" si="1"/>
        <v>0</v>
      </c>
      <c r="N85" s="88">
        <f t="shared" si="2"/>
        <v>0</v>
      </c>
      <c r="P85" s="88">
        <f t="shared" si="3"/>
        <v>0</v>
      </c>
      <c r="R85" s="88">
        <f t="shared" si="4"/>
        <v>0</v>
      </c>
      <c r="T85" s="88">
        <f t="shared" si="5"/>
        <v>0</v>
      </c>
      <c r="V85" s="88">
        <f t="shared" si="6"/>
        <v>0</v>
      </c>
      <c r="X85" s="88">
        <f t="shared" si="7"/>
        <v>0</v>
      </c>
    </row>
    <row r="86" spans="1:24" ht="12.75">
      <c r="A86" t="s">
        <v>48</v>
      </c>
      <c r="D86" s="12">
        <v>0</v>
      </c>
      <c r="F86" s="10">
        <v>0</v>
      </c>
      <c r="G86" s="10"/>
      <c r="H86" s="10"/>
      <c r="J86" s="88">
        <f t="shared" si="0"/>
        <v>0</v>
      </c>
      <c r="L86" s="88">
        <f t="shared" si="1"/>
        <v>0</v>
      </c>
      <c r="N86" s="88">
        <f t="shared" si="2"/>
        <v>0</v>
      </c>
      <c r="P86" s="88">
        <f t="shared" si="3"/>
        <v>0</v>
      </c>
      <c r="R86" s="88">
        <f t="shared" si="4"/>
        <v>0</v>
      </c>
      <c r="T86" s="88">
        <f t="shared" si="5"/>
        <v>0</v>
      </c>
      <c r="V86" s="88">
        <f t="shared" si="6"/>
        <v>0</v>
      </c>
      <c r="X86" s="88">
        <f t="shared" si="7"/>
        <v>0</v>
      </c>
    </row>
    <row r="87" spans="1:24" ht="12.75">
      <c r="A87" t="s">
        <v>49</v>
      </c>
      <c r="D87" s="12">
        <v>0</v>
      </c>
      <c r="F87" s="10">
        <v>0</v>
      </c>
      <c r="G87" s="10"/>
      <c r="H87" s="10"/>
      <c r="J87" s="88">
        <f t="shared" si="0"/>
        <v>0</v>
      </c>
      <c r="L87" s="88">
        <f t="shared" si="1"/>
        <v>0</v>
      </c>
      <c r="N87" s="88">
        <f t="shared" si="2"/>
        <v>0</v>
      </c>
      <c r="P87" s="88">
        <f t="shared" si="3"/>
        <v>0</v>
      </c>
      <c r="R87" s="88">
        <f t="shared" si="4"/>
        <v>0</v>
      </c>
      <c r="T87" s="88">
        <f t="shared" si="5"/>
        <v>0</v>
      </c>
      <c r="V87" s="88">
        <f t="shared" si="6"/>
        <v>0</v>
      </c>
      <c r="X87" s="88">
        <f t="shared" si="7"/>
        <v>0</v>
      </c>
    </row>
    <row r="88" spans="1:24" ht="12.75">
      <c r="A88" t="s">
        <v>50</v>
      </c>
      <c r="D88" s="12">
        <v>0</v>
      </c>
      <c r="F88" s="10">
        <v>0</v>
      </c>
      <c r="G88" s="10"/>
      <c r="H88" s="10"/>
      <c r="J88" s="88">
        <f t="shared" si="0"/>
        <v>0</v>
      </c>
      <c r="L88" s="88">
        <f t="shared" si="1"/>
        <v>0</v>
      </c>
      <c r="N88" s="88">
        <f t="shared" si="2"/>
        <v>0</v>
      </c>
      <c r="P88" s="88">
        <f t="shared" si="3"/>
        <v>0</v>
      </c>
      <c r="R88" s="88">
        <f t="shared" si="4"/>
        <v>0</v>
      </c>
      <c r="T88" s="88">
        <f t="shared" si="5"/>
        <v>0</v>
      </c>
      <c r="V88" s="88">
        <f t="shared" si="6"/>
        <v>0</v>
      </c>
      <c r="X88" s="88">
        <f t="shared" si="7"/>
        <v>0</v>
      </c>
    </row>
    <row r="89" spans="1:24" ht="12.75">
      <c r="A89" t="s">
        <v>51</v>
      </c>
      <c r="D89" s="12">
        <v>0</v>
      </c>
      <c r="F89" s="10">
        <v>0</v>
      </c>
      <c r="G89" s="10"/>
      <c r="H89" s="10"/>
      <c r="J89" s="88">
        <f t="shared" si="0"/>
        <v>0</v>
      </c>
      <c r="L89" s="88">
        <f t="shared" si="1"/>
        <v>0</v>
      </c>
      <c r="N89" s="88">
        <f t="shared" si="2"/>
        <v>0</v>
      </c>
      <c r="P89" s="88">
        <f t="shared" si="3"/>
        <v>0</v>
      </c>
      <c r="R89" s="88">
        <f t="shared" si="4"/>
        <v>0</v>
      </c>
      <c r="T89" s="88">
        <f t="shared" si="5"/>
        <v>0</v>
      </c>
      <c r="V89" s="88">
        <f t="shared" si="6"/>
        <v>0</v>
      </c>
      <c r="X89" s="88">
        <f t="shared" si="7"/>
        <v>0</v>
      </c>
    </row>
    <row r="90" spans="1:24" ht="12.75">
      <c r="A90" t="s">
        <v>52</v>
      </c>
      <c r="D90" s="12">
        <v>0</v>
      </c>
      <c r="F90" s="10">
        <v>0</v>
      </c>
      <c r="G90" s="10"/>
      <c r="H90" s="10"/>
      <c r="J90" s="88">
        <f t="shared" si="0"/>
        <v>0</v>
      </c>
      <c r="L90" s="88">
        <f t="shared" si="1"/>
        <v>0</v>
      </c>
      <c r="N90" s="88">
        <f t="shared" si="2"/>
        <v>0</v>
      </c>
      <c r="P90" s="88">
        <f t="shared" si="3"/>
        <v>0</v>
      </c>
      <c r="R90" s="88">
        <f t="shared" si="4"/>
        <v>0</v>
      </c>
      <c r="T90" s="88">
        <f t="shared" si="5"/>
        <v>0</v>
      </c>
      <c r="V90" s="88">
        <f t="shared" si="6"/>
        <v>0</v>
      </c>
      <c r="X90" s="88">
        <f t="shared" si="7"/>
        <v>0</v>
      </c>
    </row>
    <row r="91" spans="1:24" ht="12.75">
      <c r="A91" t="s">
        <v>53</v>
      </c>
      <c r="D91" s="12">
        <v>0</v>
      </c>
      <c r="F91" s="10">
        <v>0</v>
      </c>
      <c r="G91" s="10"/>
      <c r="H91" s="10"/>
      <c r="J91" s="88">
        <f t="shared" si="0"/>
        <v>0</v>
      </c>
      <c r="L91" s="88">
        <f t="shared" si="1"/>
        <v>0</v>
      </c>
      <c r="N91" s="88">
        <f t="shared" si="2"/>
        <v>0</v>
      </c>
      <c r="P91" s="88">
        <f t="shared" si="3"/>
        <v>0</v>
      </c>
      <c r="R91" s="88">
        <f t="shared" si="4"/>
        <v>0</v>
      </c>
      <c r="T91" s="88">
        <f t="shared" si="5"/>
        <v>0</v>
      </c>
      <c r="V91" s="88">
        <f t="shared" si="6"/>
        <v>0</v>
      </c>
      <c r="X91" s="88">
        <f t="shared" si="7"/>
        <v>0</v>
      </c>
    </row>
    <row r="92" spans="1:24" ht="13.5" customHeight="1" thickBot="1">
      <c r="A92" t="s">
        <v>54</v>
      </c>
      <c r="D92" s="12">
        <v>0</v>
      </c>
      <c r="F92" s="10">
        <v>0</v>
      </c>
      <c r="G92" s="10"/>
      <c r="H92" s="10"/>
      <c r="J92" s="88">
        <f t="shared" si="0"/>
        <v>0</v>
      </c>
      <c r="L92" s="88">
        <f t="shared" si="1"/>
        <v>0</v>
      </c>
      <c r="N92" s="88">
        <f t="shared" si="2"/>
        <v>0</v>
      </c>
      <c r="P92" s="88">
        <f t="shared" si="3"/>
        <v>0</v>
      </c>
      <c r="R92" s="88">
        <f t="shared" si="4"/>
        <v>0</v>
      </c>
      <c r="T92" s="88">
        <f t="shared" si="5"/>
        <v>0</v>
      </c>
      <c r="V92" s="88">
        <f t="shared" si="6"/>
        <v>0</v>
      </c>
      <c r="X92" s="88">
        <f t="shared" si="7"/>
        <v>0</v>
      </c>
    </row>
    <row r="93" spans="1:24" s="19" customFormat="1" ht="12.75">
      <c r="A93" s="19" t="s">
        <v>55</v>
      </c>
      <c r="D93" s="38">
        <f>SUM(D83:D92)</f>
        <v>0</v>
      </c>
      <c r="F93" s="128"/>
      <c r="G93" s="128"/>
      <c r="H93" s="128"/>
      <c r="J93" s="106">
        <f>SUM(J83:J92)</f>
        <v>0</v>
      </c>
      <c r="K93" s="59"/>
      <c r="L93" s="106">
        <f>SUM(L83:L92)</f>
        <v>0</v>
      </c>
      <c r="M93" s="59"/>
      <c r="N93" s="106">
        <f>SUM(N83:N92)</f>
        <v>0</v>
      </c>
      <c r="O93" s="59"/>
      <c r="P93" s="106">
        <f>SUM(P83:P92)</f>
        <v>0</v>
      </c>
      <c r="Q93" s="59"/>
      <c r="R93" s="106">
        <f>SUM(R83:R92)</f>
        <v>0</v>
      </c>
      <c r="S93" s="59"/>
      <c r="T93" s="106">
        <f>SUM(T83:T92)</f>
        <v>0</v>
      </c>
      <c r="U93" s="59"/>
      <c r="V93" s="106">
        <f>SUM(V83:V92)</f>
        <v>0</v>
      </c>
      <c r="W93" s="59"/>
      <c r="X93" s="106">
        <f>SUM(X83:X92)</f>
        <v>0</v>
      </c>
    </row>
    <row r="95" spans="4:8" s="162" customFormat="1" ht="13.5" customHeight="1" thickBot="1">
      <c r="D95" s="7" t="s">
        <v>197</v>
      </c>
      <c r="E95" s="7"/>
      <c r="F95" s="7"/>
      <c r="G95" s="92"/>
      <c r="H95" s="92"/>
    </row>
    <row r="96" spans="4:24" ht="13.5" customHeight="1" thickBot="1">
      <c r="D96" s="127" t="s">
        <v>198</v>
      </c>
      <c r="E96" s="99"/>
      <c r="F96" s="127" t="s">
        <v>199</v>
      </c>
      <c r="G96" s="131"/>
      <c r="H96" s="131"/>
      <c r="J96" s="7" t="s">
        <v>200</v>
      </c>
      <c r="K96" s="7"/>
      <c r="L96" s="7"/>
      <c r="M96" s="7"/>
      <c r="N96" s="7"/>
      <c r="O96" s="7"/>
      <c r="P96" s="7"/>
      <c r="Q96" s="7"/>
      <c r="R96" s="7"/>
      <c r="S96" s="7"/>
      <c r="T96" s="7"/>
      <c r="U96" s="7"/>
      <c r="V96" s="7"/>
      <c r="W96" s="7"/>
      <c r="X96" s="7"/>
    </row>
    <row r="97" spans="1:24" ht="12.75">
      <c r="A97" t="s">
        <v>45</v>
      </c>
      <c r="D97" s="17">
        <v>0</v>
      </c>
      <c r="F97" s="17">
        <v>0</v>
      </c>
      <c r="J97" s="16">
        <f aca="true" t="shared" si="8" ref="J97:J106">IF(ISERROR(J83*$F97/$D97),0,J83*$F97/$D97)</f>
        <v>0</v>
      </c>
      <c r="L97" s="16">
        <f aca="true" t="shared" si="9" ref="L97:L106">IF(ISERROR(L83*$F97/$D97),0,L83*$F97/$D97)</f>
        <v>0</v>
      </c>
      <c r="N97" s="16">
        <f aca="true" t="shared" si="10" ref="N97:N106">IF(ISERROR(N83*$F97/$D97),0,N83*$F97/$D97)</f>
        <v>0</v>
      </c>
      <c r="P97" s="16">
        <f aca="true" t="shared" si="11" ref="P97:P106">IF(ISERROR(P83*$F97/$D97),0,P83*$F97/$D97)</f>
        <v>0</v>
      </c>
      <c r="R97" s="16">
        <f aca="true" t="shared" si="12" ref="R97:R106">IF(ISERROR(R83*$F97/$D97),0,R83*$F97/$D97)</f>
        <v>0</v>
      </c>
      <c r="T97" s="16">
        <f aca="true" t="shared" si="13" ref="T97:T106">IF(ISERROR(T83*$F97/$D97),0,T83*$F97/$D97)</f>
        <v>0</v>
      </c>
      <c r="V97" s="16">
        <f aca="true" t="shared" si="14" ref="V97:V106">IF(ISERROR(V83*$F97/$D97),0,V83*$F97/$D97)</f>
        <v>0</v>
      </c>
      <c r="X97" s="16">
        <f aca="true" t="shared" si="15" ref="X97:X106">IF(ISERROR(X83*$F97/$D97),0,X83*$F97/$D97)</f>
        <v>0</v>
      </c>
    </row>
    <row r="98" spans="1:24" ht="12.75">
      <c r="A98" t="s">
        <v>46</v>
      </c>
      <c r="D98" s="17">
        <v>0</v>
      </c>
      <c r="F98" s="17">
        <v>0</v>
      </c>
      <c r="J98" s="88">
        <f t="shared" si="8"/>
        <v>0</v>
      </c>
      <c r="L98" s="88">
        <f t="shared" si="9"/>
        <v>0</v>
      </c>
      <c r="N98" s="88">
        <f t="shared" si="10"/>
        <v>0</v>
      </c>
      <c r="P98" s="88">
        <f t="shared" si="11"/>
        <v>0</v>
      </c>
      <c r="R98" s="88">
        <f t="shared" si="12"/>
        <v>0</v>
      </c>
      <c r="T98" s="88">
        <f t="shared" si="13"/>
        <v>0</v>
      </c>
      <c r="V98" s="88">
        <f t="shared" si="14"/>
        <v>0</v>
      </c>
      <c r="X98" s="88">
        <f t="shared" si="15"/>
        <v>0</v>
      </c>
    </row>
    <row r="99" spans="1:24" ht="12.75">
      <c r="A99" t="s">
        <v>47</v>
      </c>
      <c r="D99" s="17">
        <v>0</v>
      </c>
      <c r="F99" s="17">
        <v>0</v>
      </c>
      <c r="J99" s="88">
        <f t="shared" si="8"/>
        <v>0</v>
      </c>
      <c r="L99" s="88">
        <f t="shared" si="9"/>
        <v>0</v>
      </c>
      <c r="N99" s="88">
        <f t="shared" si="10"/>
        <v>0</v>
      </c>
      <c r="P99" s="88">
        <f t="shared" si="11"/>
        <v>0</v>
      </c>
      <c r="R99" s="88">
        <f t="shared" si="12"/>
        <v>0</v>
      </c>
      <c r="T99" s="88">
        <f t="shared" si="13"/>
        <v>0</v>
      </c>
      <c r="V99" s="88">
        <f t="shared" si="14"/>
        <v>0</v>
      </c>
      <c r="X99" s="88">
        <f t="shared" si="15"/>
        <v>0</v>
      </c>
    </row>
    <row r="100" spans="1:24" ht="12.75">
      <c r="A100" t="s">
        <v>48</v>
      </c>
      <c r="D100" s="17">
        <v>0</v>
      </c>
      <c r="F100" s="17">
        <v>0</v>
      </c>
      <c r="J100" s="88">
        <f t="shared" si="8"/>
        <v>0</v>
      </c>
      <c r="L100" s="88">
        <f t="shared" si="9"/>
        <v>0</v>
      </c>
      <c r="N100" s="88">
        <f t="shared" si="10"/>
        <v>0</v>
      </c>
      <c r="P100" s="88">
        <f t="shared" si="11"/>
        <v>0</v>
      </c>
      <c r="R100" s="88">
        <f t="shared" si="12"/>
        <v>0</v>
      </c>
      <c r="T100" s="88">
        <f t="shared" si="13"/>
        <v>0</v>
      </c>
      <c r="V100" s="88">
        <f t="shared" si="14"/>
        <v>0</v>
      </c>
      <c r="X100" s="88">
        <f t="shared" si="15"/>
        <v>0</v>
      </c>
    </row>
    <row r="101" spans="1:24" ht="12.75">
      <c r="A101" t="s">
        <v>49</v>
      </c>
      <c r="D101" s="17">
        <v>0</v>
      </c>
      <c r="F101" s="17">
        <v>0</v>
      </c>
      <c r="J101" s="88">
        <f t="shared" si="8"/>
        <v>0</v>
      </c>
      <c r="L101" s="88">
        <f t="shared" si="9"/>
        <v>0</v>
      </c>
      <c r="N101" s="88">
        <f t="shared" si="10"/>
        <v>0</v>
      </c>
      <c r="P101" s="88">
        <f t="shared" si="11"/>
        <v>0</v>
      </c>
      <c r="R101" s="88">
        <f t="shared" si="12"/>
        <v>0</v>
      </c>
      <c r="T101" s="88">
        <f t="shared" si="13"/>
        <v>0</v>
      </c>
      <c r="V101" s="88">
        <f t="shared" si="14"/>
        <v>0</v>
      </c>
      <c r="X101" s="88">
        <f t="shared" si="15"/>
        <v>0</v>
      </c>
    </row>
    <row r="102" spans="1:24" ht="12.75">
      <c r="A102" t="s">
        <v>50</v>
      </c>
      <c r="D102" s="17">
        <v>0</v>
      </c>
      <c r="F102" s="17">
        <v>0</v>
      </c>
      <c r="J102" s="88">
        <f t="shared" si="8"/>
        <v>0</v>
      </c>
      <c r="L102" s="88">
        <f t="shared" si="9"/>
        <v>0</v>
      </c>
      <c r="N102" s="88">
        <f t="shared" si="10"/>
        <v>0</v>
      </c>
      <c r="P102" s="88">
        <f t="shared" si="11"/>
        <v>0</v>
      </c>
      <c r="R102" s="88">
        <f t="shared" si="12"/>
        <v>0</v>
      </c>
      <c r="T102" s="88">
        <f t="shared" si="13"/>
        <v>0</v>
      </c>
      <c r="V102" s="88">
        <f t="shared" si="14"/>
        <v>0</v>
      </c>
      <c r="X102" s="88">
        <f t="shared" si="15"/>
        <v>0</v>
      </c>
    </row>
    <row r="103" spans="1:24" ht="12.75">
      <c r="A103" t="s">
        <v>51</v>
      </c>
      <c r="D103" s="17">
        <v>0</v>
      </c>
      <c r="F103" s="17">
        <v>0</v>
      </c>
      <c r="J103" s="88">
        <f t="shared" si="8"/>
        <v>0</v>
      </c>
      <c r="L103" s="88">
        <f t="shared" si="9"/>
        <v>0</v>
      </c>
      <c r="N103" s="88">
        <f t="shared" si="10"/>
        <v>0</v>
      </c>
      <c r="P103" s="88">
        <f t="shared" si="11"/>
        <v>0</v>
      </c>
      <c r="R103" s="88">
        <f t="shared" si="12"/>
        <v>0</v>
      </c>
      <c r="T103" s="88">
        <f t="shared" si="13"/>
        <v>0</v>
      </c>
      <c r="V103" s="88">
        <f t="shared" si="14"/>
        <v>0</v>
      </c>
      <c r="X103" s="88">
        <f t="shared" si="15"/>
        <v>0</v>
      </c>
    </row>
    <row r="104" spans="1:24" ht="12.75">
      <c r="A104" t="s">
        <v>52</v>
      </c>
      <c r="D104" s="17">
        <v>0</v>
      </c>
      <c r="F104" s="17">
        <v>0</v>
      </c>
      <c r="J104" s="88">
        <f t="shared" si="8"/>
        <v>0</v>
      </c>
      <c r="L104" s="88">
        <f t="shared" si="9"/>
        <v>0</v>
      </c>
      <c r="N104" s="88">
        <f t="shared" si="10"/>
        <v>0</v>
      </c>
      <c r="P104" s="88">
        <f t="shared" si="11"/>
        <v>0</v>
      </c>
      <c r="R104" s="88">
        <f t="shared" si="12"/>
        <v>0</v>
      </c>
      <c r="T104" s="88">
        <f t="shared" si="13"/>
        <v>0</v>
      </c>
      <c r="V104" s="88">
        <f t="shared" si="14"/>
        <v>0</v>
      </c>
      <c r="X104" s="88">
        <f t="shared" si="15"/>
        <v>0</v>
      </c>
    </row>
    <row r="105" spans="1:24" ht="12.75">
      <c r="A105" t="s">
        <v>53</v>
      </c>
      <c r="D105" s="17">
        <v>0</v>
      </c>
      <c r="F105" s="17">
        <v>0</v>
      </c>
      <c r="J105" s="88">
        <f t="shared" si="8"/>
        <v>0</v>
      </c>
      <c r="L105" s="88">
        <f t="shared" si="9"/>
        <v>0</v>
      </c>
      <c r="N105" s="88">
        <f t="shared" si="10"/>
        <v>0</v>
      </c>
      <c r="P105" s="88">
        <f t="shared" si="11"/>
        <v>0</v>
      </c>
      <c r="R105" s="88">
        <f t="shared" si="12"/>
        <v>0</v>
      </c>
      <c r="T105" s="88">
        <f t="shared" si="13"/>
        <v>0</v>
      </c>
      <c r="V105" s="88">
        <f t="shared" si="14"/>
        <v>0</v>
      </c>
      <c r="X105" s="88">
        <f t="shared" si="15"/>
        <v>0</v>
      </c>
    </row>
    <row r="106" spans="1:24" ht="13.5" customHeight="1" thickBot="1">
      <c r="A106" t="s">
        <v>54</v>
      </c>
      <c r="D106" s="17">
        <v>0</v>
      </c>
      <c r="F106" s="17">
        <v>0</v>
      </c>
      <c r="J106" s="88">
        <f t="shared" si="8"/>
        <v>0</v>
      </c>
      <c r="L106" s="88">
        <f t="shared" si="9"/>
        <v>0</v>
      </c>
      <c r="N106" s="88">
        <f t="shared" si="10"/>
        <v>0</v>
      </c>
      <c r="P106" s="88">
        <f t="shared" si="11"/>
        <v>0</v>
      </c>
      <c r="R106" s="88">
        <f t="shared" si="12"/>
        <v>0</v>
      </c>
      <c r="T106" s="88">
        <f t="shared" si="13"/>
        <v>0</v>
      </c>
      <c r="V106" s="88">
        <f t="shared" si="14"/>
        <v>0</v>
      </c>
      <c r="X106" s="88">
        <f t="shared" si="15"/>
        <v>0</v>
      </c>
    </row>
    <row r="107" spans="1:24" s="89" customFormat="1" ht="12.75">
      <c r="A107" s="59" t="s">
        <v>55</v>
      </c>
      <c r="D107" s="163"/>
      <c r="E107" s="164"/>
      <c r="F107" s="163"/>
      <c r="G107" s="70"/>
      <c r="H107" s="70"/>
      <c r="J107" s="106">
        <f>SUM(J97:J106)</f>
        <v>0</v>
      </c>
      <c r="L107" s="106">
        <f>SUM(L97:L106)</f>
        <v>0</v>
      </c>
      <c r="N107" s="106">
        <f>SUM(N97:N106)</f>
        <v>0</v>
      </c>
      <c r="P107" s="106">
        <f>SUM(P97:P106)</f>
        <v>0</v>
      </c>
      <c r="R107" s="106">
        <f>SUM(R97:R106)</f>
        <v>0</v>
      </c>
      <c r="T107" s="106">
        <f>SUM(T97:T106)</f>
        <v>0</v>
      </c>
      <c r="V107" s="106">
        <f>SUM(V97:V106)</f>
        <v>0</v>
      </c>
      <c r="X107" s="106">
        <f>SUM(X97:X106)</f>
        <v>0</v>
      </c>
    </row>
    <row r="109" spans="6:8" ht="12.75">
      <c r="F109" s="99" t="s">
        <v>199</v>
      </c>
      <c r="G109" s="99"/>
      <c r="H109" s="99"/>
    </row>
    <row r="110" spans="6:24" ht="13.5" customHeight="1" thickBot="1">
      <c r="F110" s="153" t="s">
        <v>201</v>
      </c>
      <c r="G110" s="161"/>
      <c r="H110" s="161"/>
      <c r="J110" s="7" t="s">
        <v>202</v>
      </c>
      <c r="K110" s="7"/>
      <c r="L110" s="7"/>
      <c r="M110" s="7"/>
      <c r="N110" s="7"/>
      <c r="O110" s="7"/>
      <c r="P110" s="7"/>
      <c r="Q110" s="7"/>
      <c r="R110" s="7"/>
      <c r="S110" s="7"/>
      <c r="T110" s="7"/>
      <c r="U110" s="7"/>
      <c r="V110" s="7"/>
      <c r="W110" s="7"/>
      <c r="X110" s="7"/>
    </row>
    <row r="111" spans="1:24" ht="12.75">
      <c r="A111" t="s">
        <v>45</v>
      </c>
      <c r="F111" s="88">
        <f aca="true" t="shared" si="16" ref="F111:F120">F97</f>
        <v>0</v>
      </c>
      <c r="J111" s="16">
        <f aca="true" t="shared" si="17" ref="J111:J120">IF(ISERROR(J97/$F111),0,J97/$F111)</f>
        <v>0</v>
      </c>
      <c r="L111" s="16">
        <f aca="true" t="shared" si="18" ref="L111:L120">IF(ISERROR(L97/$F111),0,L97/$F111)</f>
        <v>0</v>
      </c>
      <c r="N111" s="16">
        <f aca="true" t="shared" si="19" ref="N111:N120">IF(ISERROR(N97/$F111),0,N97/$F111)</f>
        <v>0</v>
      </c>
      <c r="P111" s="16">
        <f aca="true" t="shared" si="20" ref="P111:P120">IF(ISERROR(P97/$F111),0,P97/$F111)</f>
        <v>0</v>
      </c>
      <c r="R111" s="16">
        <f aca="true" t="shared" si="21" ref="R111:R120">IF(ISERROR(R97/$F111),0,R97/$F111)</f>
        <v>0</v>
      </c>
      <c r="T111" s="16">
        <f aca="true" t="shared" si="22" ref="T111:T120">IF(ISERROR(T97/$F111),0,T97/$F111)</f>
        <v>0</v>
      </c>
      <c r="V111" s="16">
        <f aca="true" t="shared" si="23" ref="V111:V120">IF(ISERROR(V97/$F111),0,V97/$F111)</f>
        <v>0</v>
      </c>
      <c r="X111" s="16">
        <f aca="true" t="shared" si="24" ref="X111:X120">IF(ISERROR(X97/$F111),0,X97/$F111)</f>
        <v>0</v>
      </c>
    </row>
    <row r="112" spans="1:24" ht="12.75">
      <c r="A112" t="s">
        <v>46</v>
      </c>
      <c r="F112" s="88">
        <f t="shared" si="16"/>
        <v>0</v>
      </c>
      <c r="J112" s="88">
        <f t="shared" si="17"/>
        <v>0</v>
      </c>
      <c r="L112" s="88">
        <f t="shared" si="18"/>
        <v>0</v>
      </c>
      <c r="N112" s="88">
        <f t="shared" si="19"/>
        <v>0</v>
      </c>
      <c r="P112" s="88">
        <f t="shared" si="20"/>
        <v>0</v>
      </c>
      <c r="R112" s="88">
        <f t="shared" si="21"/>
        <v>0</v>
      </c>
      <c r="T112" s="88">
        <f t="shared" si="22"/>
        <v>0</v>
      </c>
      <c r="V112" s="88">
        <f t="shared" si="23"/>
        <v>0</v>
      </c>
      <c r="X112" s="88">
        <f t="shared" si="24"/>
        <v>0</v>
      </c>
    </row>
    <row r="113" spans="1:24" ht="12.75">
      <c r="A113" t="s">
        <v>47</v>
      </c>
      <c r="F113" s="88">
        <f t="shared" si="16"/>
        <v>0</v>
      </c>
      <c r="J113" s="88">
        <f t="shared" si="17"/>
        <v>0</v>
      </c>
      <c r="L113" s="88">
        <f t="shared" si="18"/>
        <v>0</v>
      </c>
      <c r="N113" s="88">
        <f t="shared" si="19"/>
        <v>0</v>
      </c>
      <c r="P113" s="88">
        <f t="shared" si="20"/>
        <v>0</v>
      </c>
      <c r="R113" s="88">
        <f t="shared" si="21"/>
        <v>0</v>
      </c>
      <c r="T113" s="88">
        <f t="shared" si="22"/>
        <v>0</v>
      </c>
      <c r="V113" s="88">
        <f t="shared" si="23"/>
        <v>0</v>
      </c>
      <c r="X113" s="88">
        <f t="shared" si="24"/>
        <v>0</v>
      </c>
    </row>
    <row r="114" spans="1:24" ht="12.75">
      <c r="A114" t="s">
        <v>48</v>
      </c>
      <c r="F114" s="88">
        <f t="shared" si="16"/>
        <v>0</v>
      </c>
      <c r="J114" s="88">
        <f t="shared" si="17"/>
        <v>0</v>
      </c>
      <c r="L114" s="88">
        <f t="shared" si="18"/>
        <v>0</v>
      </c>
      <c r="N114" s="88">
        <f t="shared" si="19"/>
        <v>0</v>
      </c>
      <c r="P114" s="88">
        <f t="shared" si="20"/>
        <v>0</v>
      </c>
      <c r="R114" s="88">
        <f t="shared" si="21"/>
        <v>0</v>
      </c>
      <c r="T114" s="88">
        <f t="shared" si="22"/>
        <v>0</v>
      </c>
      <c r="V114" s="88">
        <f t="shared" si="23"/>
        <v>0</v>
      </c>
      <c r="X114" s="88">
        <f t="shared" si="24"/>
        <v>0</v>
      </c>
    </row>
    <row r="115" spans="1:24" ht="12.75">
      <c r="A115" t="s">
        <v>49</v>
      </c>
      <c r="F115" s="88">
        <f t="shared" si="16"/>
        <v>0</v>
      </c>
      <c r="J115" s="88">
        <f t="shared" si="17"/>
        <v>0</v>
      </c>
      <c r="L115" s="88">
        <f t="shared" si="18"/>
        <v>0</v>
      </c>
      <c r="N115" s="88">
        <f t="shared" si="19"/>
        <v>0</v>
      </c>
      <c r="P115" s="88">
        <f t="shared" si="20"/>
        <v>0</v>
      </c>
      <c r="R115" s="88">
        <f t="shared" si="21"/>
        <v>0</v>
      </c>
      <c r="T115" s="88">
        <f t="shared" si="22"/>
        <v>0</v>
      </c>
      <c r="V115" s="88">
        <f t="shared" si="23"/>
        <v>0</v>
      </c>
      <c r="X115" s="88">
        <f t="shared" si="24"/>
        <v>0</v>
      </c>
    </row>
    <row r="116" spans="1:24" ht="12.75">
      <c r="A116" t="s">
        <v>50</v>
      </c>
      <c r="F116" s="88">
        <f t="shared" si="16"/>
        <v>0</v>
      </c>
      <c r="J116" s="88">
        <f t="shared" si="17"/>
        <v>0</v>
      </c>
      <c r="L116" s="88">
        <f t="shared" si="18"/>
        <v>0</v>
      </c>
      <c r="N116" s="88">
        <f t="shared" si="19"/>
        <v>0</v>
      </c>
      <c r="P116" s="88">
        <f t="shared" si="20"/>
        <v>0</v>
      </c>
      <c r="R116" s="88">
        <f t="shared" si="21"/>
        <v>0</v>
      </c>
      <c r="T116" s="88">
        <f t="shared" si="22"/>
        <v>0</v>
      </c>
      <c r="V116" s="88">
        <f t="shared" si="23"/>
        <v>0</v>
      </c>
      <c r="X116" s="88">
        <f t="shared" si="24"/>
        <v>0</v>
      </c>
    </row>
    <row r="117" spans="1:24" ht="12.75">
      <c r="A117" t="s">
        <v>51</v>
      </c>
      <c r="F117" s="88">
        <f t="shared" si="16"/>
        <v>0</v>
      </c>
      <c r="J117" s="88">
        <f t="shared" si="17"/>
        <v>0</v>
      </c>
      <c r="L117" s="88">
        <f t="shared" si="18"/>
        <v>0</v>
      </c>
      <c r="N117" s="88">
        <f t="shared" si="19"/>
        <v>0</v>
      </c>
      <c r="P117" s="88">
        <f t="shared" si="20"/>
        <v>0</v>
      </c>
      <c r="R117" s="88">
        <f t="shared" si="21"/>
        <v>0</v>
      </c>
      <c r="T117" s="88">
        <f t="shared" si="22"/>
        <v>0</v>
      </c>
      <c r="V117" s="88">
        <f t="shared" si="23"/>
        <v>0</v>
      </c>
      <c r="X117" s="88">
        <f t="shared" si="24"/>
        <v>0</v>
      </c>
    </row>
    <row r="118" spans="1:24" ht="12.75">
      <c r="A118" t="s">
        <v>52</v>
      </c>
      <c r="F118" s="88">
        <f t="shared" si="16"/>
        <v>0</v>
      </c>
      <c r="J118" s="88">
        <f t="shared" si="17"/>
        <v>0</v>
      </c>
      <c r="L118" s="88">
        <f t="shared" si="18"/>
        <v>0</v>
      </c>
      <c r="N118" s="88">
        <f t="shared" si="19"/>
        <v>0</v>
      </c>
      <c r="P118" s="88">
        <f t="shared" si="20"/>
        <v>0</v>
      </c>
      <c r="R118" s="88">
        <f t="shared" si="21"/>
        <v>0</v>
      </c>
      <c r="T118" s="88">
        <f t="shared" si="22"/>
        <v>0</v>
      </c>
      <c r="V118" s="88">
        <f t="shared" si="23"/>
        <v>0</v>
      </c>
      <c r="X118" s="88">
        <f t="shared" si="24"/>
        <v>0</v>
      </c>
    </row>
    <row r="119" spans="1:24" ht="12.75">
      <c r="A119" t="s">
        <v>53</v>
      </c>
      <c r="F119" s="88">
        <f t="shared" si="16"/>
        <v>0</v>
      </c>
      <c r="J119" s="88">
        <f t="shared" si="17"/>
        <v>0</v>
      </c>
      <c r="L119" s="88">
        <f t="shared" si="18"/>
        <v>0</v>
      </c>
      <c r="N119" s="88">
        <f t="shared" si="19"/>
        <v>0</v>
      </c>
      <c r="P119" s="88">
        <f t="shared" si="20"/>
        <v>0</v>
      </c>
      <c r="R119" s="88">
        <f t="shared" si="21"/>
        <v>0</v>
      </c>
      <c r="T119" s="88">
        <f t="shared" si="22"/>
        <v>0</v>
      </c>
      <c r="V119" s="88">
        <f t="shared" si="23"/>
        <v>0</v>
      </c>
      <c r="X119" s="88">
        <f t="shared" si="24"/>
        <v>0</v>
      </c>
    </row>
    <row r="120" spans="1:24" ht="13.5" customHeight="1" thickBot="1">
      <c r="A120" t="s">
        <v>54</v>
      </c>
      <c r="F120" s="88">
        <f t="shared" si="16"/>
        <v>0</v>
      </c>
      <c r="J120" s="88">
        <f t="shared" si="17"/>
        <v>0</v>
      </c>
      <c r="L120" s="88">
        <f t="shared" si="18"/>
        <v>0</v>
      </c>
      <c r="N120" s="88">
        <f t="shared" si="19"/>
        <v>0</v>
      </c>
      <c r="P120" s="88">
        <f t="shared" si="20"/>
        <v>0</v>
      </c>
      <c r="R120" s="88">
        <f t="shared" si="21"/>
        <v>0</v>
      </c>
      <c r="T120" s="88">
        <f t="shared" si="22"/>
        <v>0</v>
      </c>
      <c r="V120" s="88">
        <f t="shared" si="23"/>
        <v>0</v>
      </c>
      <c r="X120" s="88">
        <f t="shared" si="24"/>
        <v>0</v>
      </c>
    </row>
    <row r="121" spans="1:24" ht="12.75">
      <c r="A121" s="59" t="s">
        <v>55</v>
      </c>
      <c r="F121" s="70"/>
      <c r="G121" s="70"/>
      <c r="H121" s="70"/>
      <c r="I121" s="89"/>
      <c r="J121" s="106">
        <f>SUM(J111:J120)</f>
        <v>0</v>
      </c>
      <c r="K121" s="89"/>
      <c r="L121" s="106">
        <f>SUM(L111:L120)</f>
        <v>0</v>
      </c>
      <c r="M121" s="89"/>
      <c r="N121" s="106">
        <f>SUM(N111:N120)</f>
        <v>0</v>
      </c>
      <c r="O121" s="89"/>
      <c r="P121" s="106">
        <f>SUM(P111:P120)</f>
        <v>0</v>
      </c>
      <c r="Q121" s="89"/>
      <c r="R121" s="106">
        <f>SUM(R111:R120)</f>
        <v>0</v>
      </c>
      <c r="S121" s="89"/>
      <c r="T121" s="106">
        <f>SUM(T111:T120)</f>
        <v>0</v>
      </c>
      <c r="U121" s="89"/>
      <c r="V121" s="106">
        <f>SUM(V111:V120)</f>
        <v>0</v>
      </c>
      <c r="W121" s="89"/>
      <c r="X121" s="106">
        <f>SUM(X111:X120)</f>
        <v>0</v>
      </c>
    </row>
    <row r="123" ht="12.75">
      <c r="A123" s="41" t="s">
        <v>173</v>
      </c>
    </row>
    <row r="124" spans="1:24" ht="12.75">
      <c r="A124" t="s">
        <v>174</v>
      </c>
      <c r="J124" s="33">
        <f>J$6</f>
        <v>12.81</v>
      </c>
      <c r="L124" s="33">
        <f>L$6</f>
        <v>12</v>
      </c>
      <c r="N124" s="33">
        <f>N$6</f>
        <v>13</v>
      </c>
      <c r="P124" s="33">
        <f>P$6</f>
        <v>14</v>
      </c>
      <c r="R124" s="33">
        <f>R$6</f>
        <v>15</v>
      </c>
      <c r="T124" s="33">
        <f>T$6</f>
        <v>16</v>
      </c>
      <c r="V124" s="33">
        <f>V$6</f>
        <v>17</v>
      </c>
      <c r="X124" s="33">
        <f>X$6</f>
        <v>18</v>
      </c>
    </row>
    <row r="125" spans="1:24" ht="12.75">
      <c r="A125" t="s">
        <v>175</v>
      </c>
      <c r="J125" s="10">
        <v>14.6</v>
      </c>
      <c r="L125" s="33">
        <f>J125</f>
        <v>14.6</v>
      </c>
      <c r="N125" s="33">
        <f>L125</f>
        <v>14.6</v>
      </c>
      <c r="P125" s="33">
        <f>N125</f>
        <v>14.6</v>
      </c>
      <c r="R125" s="33">
        <f>P125</f>
        <v>14.6</v>
      </c>
      <c r="T125" s="33">
        <f>R125</f>
        <v>14.6</v>
      </c>
      <c r="V125" s="33">
        <f>T125</f>
        <v>14.6</v>
      </c>
      <c r="X125" s="33">
        <f>V125</f>
        <v>14.6</v>
      </c>
    </row>
    <row r="126" spans="1:24" ht="12.75">
      <c r="A126" t="s">
        <v>176</v>
      </c>
      <c r="J126" s="17">
        <v>4</v>
      </c>
      <c r="L126" s="88">
        <f>J126</f>
        <v>4</v>
      </c>
      <c r="N126" s="88">
        <f>L126</f>
        <v>4</v>
      </c>
      <c r="P126" s="88">
        <f>N126</f>
        <v>4</v>
      </c>
      <c r="R126" s="88">
        <f>P126</f>
        <v>4</v>
      </c>
      <c r="T126" s="88">
        <f>R126</f>
        <v>4</v>
      </c>
      <c r="V126" s="88">
        <f>T126</f>
        <v>4</v>
      </c>
      <c r="X126" s="88">
        <f>V126</f>
        <v>4</v>
      </c>
    </row>
    <row r="127" spans="1:24" ht="12.75">
      <c r="A127" t="s">
        <v>177</v>
      </c>
      <c r="J127" s="43">
        <v>0.6</v>
      </c>
      <c r="L127" s="62">
        <f>J127</f>
        <v>0.6</v>
      </c>
      <c r="N127" s="62">
        <f>L127</f>
        <v>0.6</v>
      </c>
      <c r="P127" s="62">
        <f>N127</f>
        <v>0.6</v>
      </c>
      <c r="R127" s="62">
        <f>P127</f>
        <v>0.6</v>
      </c>
      <c r="T127" s="62">
        <f>R127</f>
        <v>0.6</v>
      </c>
      <c r="V127" s="62">
        <f>T127</f>
        <v>0.6</v>
      </c>
      <c r="X127" s="62">
        <f>V127</f>
        <v>0.6</v>
      </c>
    </row>
    <row r="128" spans="1:24" ht="12.75" customHeight="1">
      <c r="A128" t="s">
        <v>178</v>
      </c>
      <c r="J128" s="156">
        <v>0</v>
      </c>
      <c r="L128" s="62">
        <f>J128</f>
        <v>0</v>
      </c>
      <c r="N128" s="62">
        <f>L128</f>
        <v>0</v>
      </c>
      <c r="P128" s="62">
        <f>N128</f>
        <v>0</v>
      </c>
      <c r="R128" s="62">
        <f>P128</f>
        <v>0</v>
      </c>
      <c r="T128" s="62">
        <f>R128</f>
        <v>0</v>
      </c>
      <c r="V128" s="62">
        <f>T128</f>
        <v>0</v>
      </c>
      <c r="X128" s="62">
        <f>V128</f>
        <v>0</v>
      </c>
    </row>
    <row r="129" spans="1:24" ht="12.75">
      <c r="A129" t="s">
        <v>179</v>
      </c>
      <c r="J129" s="43">
        <v>0.04</v>
      </c>
      <c r="L129" s="62">
        <f>J129</f>
        <v>0.04</v>
      </c>
      <c r="N129" s="62">
        <f>L129</f>
        <v>0.04</v>
      </c>
      <c r="P129" s="62">
        <f>N129</f>
        <v>0.04</v>
      </c>
      <c r="R129" s="62">
        <f>P129</f>
        <v>0.04</v>
      </c>
      <c r="T129" s="62">
        <f>R129</f>
        <v>0.04</v>
      </c>
      <c r="V129" s="62">
        <f>T129</f>
        <v>0.04</v>
      </c>
      <c r="X129" s="62">
        <f>V129</f>
        <v>0.04</v>
      </c>
    </row>
    <row r="130" spans="1:24" ht="12.75" customHeight="1">
      <c r="A130" t="s">
        <v>180</v>
      </c>
      <c r="J130" s="157">
        <f>(LN(J124/J125)+(J129-J128+J127^2/2)*J126)/(J127*SQRT(J126))</f>
        <v>0.6243371559952936</v>
      </c>
      <c r="L130" s="157">
        <f>(LN(L124/L125)+(L129-L128+L127^2/2)*L126)/(L127*SQRT(L126))</f>
        <v>0.5699042675614246</v>
      </c>
      <c r="N130" s="157">
        <f>(LN(N124/N125)+(N129-N128+N127^2/2)*N126)/(N127*SQRT(N126))</f>
        <v>0.6366065239560383</v>
      </c>
      <c r="P130" s="157">
        <f>(LN(P124/P125)+(P129-P128+P127^2/2)*P126)/(P127*SQRT(P126))</f>
        <v>0.6983631674174733</v>
      </c>
      <c r="R130" s="157">
        <f>(LN(R124/R125)+(R129-R128+R127^2/2)*R126)/(R127*SQRT(R126))</f>
        <v>0.7558572269899329</v>
      </c>
      <c r="T130" s="157">
        <f>(LN(T124/T125)+(T129-T128+T127^2/2)*T126)/(T127*SQRT(T126))</f>
        <v>0.8096393279379087</v>
      </c>
      <c r="V130" s="157">
        <f>(LN(V124/V125)+(V129-V128+V127^2/2)*V126)/(V127*SQRT(V126))</f>
        <v>0.8601598461182712</v>
      </c>
      <c r="X130" s="157">
        <f>(LN(X124/X125)+(X129-X128+X127^2/2)*X126)/(X127*SQRT(X126))</f>
        <v>0.9077918576515617</v>
      </c>
    </row>
    <row r="131" spans="1:24" ht="12.75">
      <c r="A131" t="s">
        <v>181</v>
      </c>
      <c r="J131" s="157">
        <f>J130-J127*SQRT(J126)</f>
        <v>-0.5756628440047064</v>
      </c>
      <c r="L131" s="157">
        <f>L130-L127*SQRT(L126)</f>
        <v>-0.6300957324385753</v>
      </c>
      <c r="N131" s="157">
        <f>N130-N127*SQRT(N126)</f>
        <v>-0.5633934760439616</v>
      </c>
      <c r="P131" s="157">
        <f>P130-P127*SQRT(P126)</f>
        <v>-0.5016368325825267</v>
      </c>
      <c r="R131" s="157">
        <f>R130-R127*SQRT(R126)</f>
        <v>-0.4441427730100671</v>
      </c>
      <c r="T131" s="157">
        <f>T130-T127*SQRT(T126)</f>
        <v>-0.39036067206209124</v>
      </c>
      <c r="V131" s="157">
        <f>V130-V127*SQRT(V126)</f>
        <v>-0.3398401538817287</v>
      </c>
      <c r="X131" s="157">
        <f>X130-X127*SQRT(X126)</f>
        <v>-0.2922081423484383</v>
      </c>
    </row>
    <row r="132" spans="1:24" ht="12.75">
      <c r="A132" t="s">
        <v>182</v>
      </c>
      <c r="J132" s="157">
        <f>NORMSDIST(J130)</f>
        <v>0.7337969063737038</v>
      </c>
      <c r="L132" s="157">
        <f>NORMSDIST(L130)</f>
        <v>0.715628684870454</v>
      </c>
      <c r="N132" s="157">
        <f>NORMSDIST(N130)</f>
        <v>0.7378094126939807</v>
      </c>
      <c r="P132" s="157">
        <f>NORMSDIST(P130)</f>
        <v>0.7575249476722876</v>
      </c>
      <c r="R132" s="157">
        <f>NORMSDIST(R130)</f>
        <v>0.7751325993501932</v>
      </c>
      <c r="T132" s="157">
        <f>NORMSDIST(T130)</f>
        <v>0.7909262510567239</v>
      </c>
      <c r="V132" s="157">
        <f>NORMSDIST(V130)</f>
        <v>0.8051495322269024</v>
      </c>
      <c r="X132" s="157">
        <f>NORMSDIST(X130)</f>
        <v>0.8180058994573549</v>
      </c>
    </row>
    <row r="133" spans="1:24" ht="13.5" customHeight="1" thickBot="1">
      <c r="A133" t="s">
        <v>183</v>
      </c>
      <c r="J133" s="157">
        <f>NORMSDIST(J131)</f>
        <v>0.28242154723626434</v>
      </c>
      <c r="L133" s="157">
        <f>NORMSDIST(L131)</f>
        <v>0.264315975822472</v>
      </c>
      <c r="N133" s="157">
        <f>NORMSDIST(N131)</f>
        <v>0.2865834893219742</v>
      </c>
      <c r="P133" s="157">
        <f>NORMSDIST(P131)</f>
        <v>0.307961502736007</v>
      </c>
      <c r="R133" s="157">
        <f>NORMSDIST(R131)</f>
        <v>0.32846968183498404</v>
      </c>
      <c r="T133" s="157">
        <f>NORMSDIST(T131)</f>
        <v>0.34813493239890525</v>
      </c>
      <c r="V133" s="157">
        <f>NORMSDIST(V131)</f>
        <v>0.3669884536029884</v>
      </c>
      <c r="X133" s="157">
        <f>NORMSDIST(X131)</f>
        <v>0.38506374324659765</v>
      </c>
    </row>
    <row r="134" spans="2:24" s="19" customFormat="1" ht="12.75">
      <c r="B134" s="19" t="s">
        <v>184</v>
      </c>
      <c r="J134" s="158">
        <f>J124*EXP(-J128*J126)*J132-J125*EXP(-J129*J126)*J133</f>
        <v>5.886247367372038</v>
      </c>
      <c r="L134" s="158">
        <f>L124*EXP(-L128*L126)*L132-L125*EXP(-L129*L126)*L133</f>
        <v>5.299110048469171</v>
      </c>
      <c r="N134" s="158">
        <f>N124*EXP(-N128*N126)*N132-N125*EXP(-N129*N126)*N133</f>
        <v>6.02605139451037</v>
      </c>
      <c r="P134" s="158">
        <f>P124*EXP(-P128*P126)*P132-P125*EXP(-P129*P126)*P133</f>
        <v>6.773908033173065</v>
      </c>
      <c r="R134" s="158">
        <f>R124*EXP(-R128*R126)*R132-R125*EXP(-R129*R126)*R133</f>
        <v>7.540399361357815</v>
      </c>
      <c r="T134" s="158">
        <f>T124*EXP(-T128*T126)*T132-T125*EXP(-T129*T126)*T133</f>
        <v>8.323569119565457</v>
      </c>
      <c r="V134" s="158">
        <f>V124*EXP(-V128*V126)*V132-V125*EXP(-V129*V126)*V133</f>
        <v>9.121728849999865</v>
      </c>
      <c r="X134" s="158">
        <f>X124*EXP(-X128*X126)*X132-X125*EXP(-X129*X126)*X133</f>
        <v>9.933412903642836</v>
      </c>
    </row>
    <row r="136" ht="12.75">
      <c r="A136" s="41" t="s">
        <v>185</v>
      </c>
    </row>
    <row r="137" spans="1:24" ht="12.75">
      <c r="A137" t="str">
        <f aca="true" t="shared" si="25" ref="A137:A146">A124</f>
        <v>Stock Price</v>
      </c>
      <c r="J137" s="33">
        <f>J$6</f>
        <v>12.81</v>
      </c>
      <c r="L137" s="33">
        <f>L$6</f>
        <v>12</v>
      </c>
      <c r="N137" s="33">
        <f>N$6</f>
        <v>13</v>
      </c>
      <c r="P137" s="33">
        <f>P$6</f>
        <v>14</v>
      </c>
      <c r="R137" s="33">
        <f>R$6</f>
        <v>15</v>
      </c>
      <c r="T137" s="33">
        <f>T$6</f>
        <v>16</v>
      </c>
      <c r="V137" s="33">
        <f>V$6</f>
        <v>17</v>
      </c>
      <c r="X137" s="33">
        <f>X$6</f>
        <v>18</v>
      </c>
    </row>
    <row r="138" spans="1:24" ht="12.75">
      <c r="A138" t="str">
        <f t="shared" si="25"/>
        <v>Strike Price</v>
      </c>
      <c r="J138" s="10">
        <v>29.49</v>
      </c>
      <c r="L138" s="33">
        <f>J138</f>
        <v>29.49</v>
      </c>
      <c r="N138" s="33">
        <f>L138</f>
        <v>29.49</v>
      </c>
      <c r="P138" s="33">
        <f>N138</f>
        <v>29.49</v>
      </c>
      <c r="R138" s="33">
        <f>P138</f>
        <v>29.49</v>
      </c>
      <c r="T138" s="33">
        <f>R138</f>
        <v>29.49</v>
      </c>
      <c r="V138" s="33">
        <f>T138</f>
        <v>29.49</v>
      </c>
      <c r="X138" s="33">
        <f>V138</f>
        <v>29.49</v>
      </c>
    </row>
    <row r="139" spans="1:24" ht="12.75">
      <c r="A139" t="str">
        <f t="shared" si="25"/>
        <v>Expiration (yrs)</v>
      </c>
      <c r="J139" s="17">
        <v>2.7</v>
      </c>
      <c r="L139" s="88">
        <f>J139</f>
        <v>2.7</v>
      </c>
      <c r="N139" s="88">
        <f>L139</f>
        <v>2.7</v>
      </c>
      <c r="P139" s="88">
        <f>N139</f>
        <v>2.7</v>
      </c>
      <c r="R139" s="88">
        <f>P139</f>
        <v>2.7</v>
      </c>
      <c r="T139" s="88">
        <f>R139</f>
        <v>2.7</v>
      </c>
      <c r="V139" s="88">
        <f>T139</f>
        <v>2.7</v>
      </c>
      <c r="X139" s="88">
        <f>V139</f>
        <v>2.7</v>
      </c>
    </row>
    <row r="140" spans="1:24" ht="12.75">
      <c r="A140" t="str">
        <f t="shared" si="25"/>
        <v>Volatility</v>
      </c>
      <c r="J140" s="62">
        <f>J127</f>
        <v>0.6</v>
      </c>
      <c r="L140" s="62">
        <f>L127</f>
        <v>0.6</v>
      </c>
      <c r="N140" s="62">
        <f>N127</f>
        <v>0.6</v>
      </c>
      <c r="P140" s="62">
        <f>P127</f>
        <v>0.6</v>
      </c>
      <c r="R140" s="62">
        <f>R127</f>
        <v>0.6</v>
      </c>
      <c r="T140" s="62">
        <f>T127</f>
        <v>0.6</v>
      </c>
      <c r="V140" s="62">
        <f>V127</f>
        <v>0.6</v>
      </c>
      <c r="X140" s="62">
        <f>X127</f>
        <v>0.6</v>
      </c>
    </row>
    <row r="141" spans="1:24" ht="12.75">
      <c r="A141" t="str">
        <f t="shared" si="25"/>
        <v>Dividend Yield</v>
      </c>
      <c r="J141" s="62">
        <f>J128</f>
        <v>0</v>
      </c>
      <c r="L141" s="62">
        <f>L128</f>
        <v>0</v>
      </c>
      <c r="N141" s="62">
        <f>N128</f>
        <v>0</v>
      </c>
      <c r="P141" s="62">
        <f>P128</f>
        <v>0</v>
      </c>
      <c r="R141" s="62">
        <f>R128</f>
        <v>0</v>
      </c>
      <c r="T141" s="62">
        <f>T128</f>
        <v>0</v>
      </c>
      <c r="V141" s="62">
        <f>V128</f>
        <v>0</v>
      </c>
      <c r="X141" s="62">
        <f>X128</f>
        <v>0</v>
      </c>
    </row>
    <row r="142" spans="1:24" ht="12.75">
      <c r="A142" t="str">
        <f t="shared" si="25"/>
        <v>Risk-Free Rate</v>
      </c>
      <c r="J142" s="62">
        <f>J129</f>
        <v>0.04</v>
      </c>
      <c r="L142" s="62">
        <f>L129</f>
        <v>0.04</v>
      </c>
      <c r="N142" s="62">
        <f>N129</f>
        <v>0.04</v>
      </c>
      <c r="P142" s="62">
        <f>P129</f>
        <v>0.04</v>
      </c>
      <c r="R142" s="62">
        <f>R129</f>
        <v>0.04</v>
      </c>
      <c r="T142" s="62">
        <f>T129</f>
        <v>0.04</v>
      </c>
      <c r="V142" s="62">
        <f>V129</f>
        <v>0.04</v>
      </c>
      <c r="X142" s="62">
        <f>X129</f>
        <v>0.04</v>
      </c>
    </row>
    <row r="143" spans="1:24" ht="12.75">
      <c r="A143" t="str">
        <f t="shared" si="25"/>
        <v>d1</v>
      </c>
      <c r="J143" s="157">
        <f>(LN(J137/J138)+(J142-J141+J140^2/2)*J139)/(J140*SQRT(J139))</f>
        <v>-0.24325485354698814</v>
      </c>
      <c r="L143" s="157">
        <f>(LN(L137/L138)+(L142-L141+L140^2/2)*L139)/(L140*SQRT(L139))</f>
        <v>-0.30950845547008154</v>
      </c>
      <c r="N143" s="157">
        <f>(LN(N137/N138)+(N142-N141+N140^2/2)*N139)/(N140*SQRT(N139))</f>
        <v>-0.22832105443936354</v>
      </c>
      <c r="P143" s="157">
        <f>(LN(P137/P138)+(P142-P141+P140^2/2)*P139)/(P140*SQRT(P139))</f>
        <v>-0.15315326177351504</v>
      </c>
      <c r="R143" s="157">
        <f>(LN(R137/R138)+(R142-R141+R140^2/2)*R139)/(R140*SQRT(R139))</f>
        <v>-0.08317372099488847</v>
      </c>
      <c r="T143" s="157">
        <f>(LN(T137/T138)+(T142-T141+T140^2/2)*T139)/(T140*SQRT(T139))</f>
        <v>-0.01771223237438551</v>
      </c>
      <c r="V143" s="157">
        <f>(LN(V137/V138)+(V142-V141+V140^2/2)*V139)/(V140*SQRT(V139))</f>
        <v>0.043779384123913155</v>
      </c>
      <c r="X143" s="157">
        <f>(LN(X137/X138)+(X142-X141+X140^2/2)*X139)/(X140*SQRT(X139))</f>
        <v>0.10175522229308961</v>
      </c>
    </row>
    <row r="144" spans="1:24" ht="12.75">
      <c r="A144" t="str">
        <f t="shared" si="25"/>
        <v>d2</v>
      </c>
      <c r="J144" s="157">
        <f>J143-J140*SQRT(J139)</f>
        <v>-1.229155457056287</v>
      </c>
      <c r="L144" s="157">
        <f>L143-L140*SQRT(L139)</f>
        <v>-1.2954090589793805</v>
      </c>
      <c r="N144" s="157">
        <f>N143-N140*SQRT(N139)</f>
        <v>-1.2142216579486624</v>
      </c>
      <c r="P144" s="157">
        <f>P143-P140*SQRT(P139)</f>
        <v>-1.139053865282814</v>
      </c>
      <c r="R144" s="157">
        <f>R143-R140*SQRT(R139)</f>
        <v>-1.0690743245041874</v>
      </c>
      <c r="T144" s="157">
        <f>T143-T140*SQRT(T139)</f>
        <v>-1.0036128358836844</v>
      </c>
      <c r="V144" s="157">
        <f>V143-V140*SQRT(V139)</f>
        <v>-0.9421212193853858</v>
      </c>
      <c r="X144" s="157">
        <f>X143-X140*SQRT(X139)</f>
        <v>-0.8841453812162093</v>
      </c>
    </row>
    <row r="145" spans="1:24" ht="12.75">
      <c r="A145" t="str">
        <f t="shared" si="25"/>
        <v>N(d1)</v>
      </c>
      <c r="J145" s="157">
        <f>NORMSDIST(J143)</f>
        <v>0.40390398785822157</v>
      </c>
      <c r="L145" s="157">
        <f>NORMSDIST(L143)</f>
        <v>0.3784673905956467</v>
      </c>
      <c r="N145" s="157">
        <f>NORMSDIST(N143)</f>
        <v>0.4096983288599535</v>
      </c>
      <c r="P145" s="157">
        <f>NORMSDIST(P143)</f>
        <v>0.4391387072242796</v>
      </c>
      <c r="R145" s="157">
        <f>NORMSDIST(R143)</f>
        <v>0.4668567039652015</v>
      </c>
      <c r="T145" s="157">
        <f>NORMSDIST(T143)</f>
        <v>0.492934211077784</v>
      </c>
      <c r="V145" s="157">
        <f>NORMSDIST(V143)</f>
        <v>0.5174598697941635</v>
      </c>
      <c r="X145" s="157">
        <f>NORMSDIST(X143)</f>
        <v>0.540524515736855</v>
      </c>
    </row>
    <row r="146" spans="1:24" ht="13.5" customHeight="1" thickBot="1">
      <c r="A146" t="str">
        <f t="shared" si="25"/>
        <v>N(d2)</v>
      </c>
      <c r="J146" s="157">
        <f>NORMSDIST(J144)</f>
        <v>0.10950676291745798</v>
      </c>
      <c r="L146" s="157">
        <f>NORMSDIST(L144)</f>
        <v>0.0975895773152593</v>
      </c>
      <c r="N146" s="157">
        <f>NORMSDIST(N144)</f>
        <v>0.11233154611710816</v>
      </c>
      <c r="P146" s="157">
        <f>NORMSDIST(P144)</f>
        <v>0.12734034409212946</v>
      </c>
      <c r="R146" s="157">
        <f>NORMSDIST(R144)</f>
        <v>0.14251809000123838</v>
      </c>
      <c r="T146" s="157">
        <f>NORMSDIST(T144)</f>
        <v>0.15778263258317793</v>
      </c>
      <c r="V146" s="157">
        <f>NORMSDIST(V144)</f>
        <v>0.17306529088931066</v>
      </c>
      <c r="X146" s="157">
        <f>NORMSDIST(X144)</f>
        <v>0.18830886908859445</v>
      </c>
    </row>
    <row r="147" spans="1:24" ht="12.75">
      <c r="A147" s="19"/>
      <c r="B147" s="19" t="s">
        <v>184</v>
      </c>
      <c r="J147" s="158">
        <f>J137*EXP(-J141*J139)*J145-J138*EXP(-J142*J139)*J146</f>
        <v>2.2752524218687022</v>
      </c>
      <c r="K147" s="19"/>
      <c r="L147" s="158">
        <f>L137*EXP(-L141*L139)*L145-L138*EXP(-L142*L139)*L146</f>
        <v>1.9583112953213129</v>
      </c>
      <c r="M147" s="19"/>
      <c r="N147" s="158">
        <f>N137*EXP(-N141*N139)*N145-N138*EXP(-N142*N139)*N146</f>
        <v>2.3525456696766165</v>
      </c>
      <c r="O147" s="19"/>
      <c r="P147" s="158">
        <f>P137*EXP(-P141*P139)*P145-P138*EXP(-P142*P139)*P146</f>
        <v>2.777110836826615</v>
      </c>
      <c r="Q147" s="19"/>
      <c r="R147" s="158">
        <f>R137*EXP(-R141*R139)*R145-R138*EXP(-R142*R139)*R146</f>
        <v>3.2302488092015733</v>
      </c>
      <c r="S147" s="19"/>
      <c r="T147" s="158">
        <f>T137*EXP(-T141*T139)*T145-T138*EXP(-T142*T139)*T146</f>
        <v>3.710277342995905</v>
      </c>
      <c r="U147" s="19"/>
      <c r="V147" s="158">
        <f>V137*EXP(-V141*V139)*V145-V138*EXP(-V142*V139)*V146</f>
        <v>4.215599926259717</v>
      </c>
      <c r="W147" s="19"/>
      <c r="X147" s="158">
        <f>X137*EXP(-X141*X139)*X145-X138*EXP(-X142*X139)*X146</f>
        <v>4.744710088016267</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K50"/>
  <sheetViews>
    <sheetView showGridLines="0" zoomScale="90" zoomScaleNormal="90" workbookViewId="0" topLeftCell="A1">
      <selection activeCell="I5" sqref="I5"/>
    </sheetView>
  </sheetViews>
  <sheetFormatPr defaultColWidth="9.140625" defaultRowHeight="12.75"/>
  <cols>
    <col min="1" max="1" width="1.7109375" style="0" customWidth="1"/>
    <col min="2" max="2" width="9.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9.7109375" style="0" customWidth="1"/>
    <col min="9" max="9" width="10.7109375" style="0" customWidth="1"/>
    <col min="10" max="10" width="1.7109375" style="0" customWidth="1"/>
    <col min="11" max="11" width="10.7109375" style="0" customWidth="1"/>
  </cols>
  <sheetData>
    <row r="1" spans="1:11" ht="24" customHeight="1" thickBot="1">
      <c r="A1" s="1" t="s">
        <v>117</v>
      </c>
      <c r="B1" s="2"/>
      <c r="C1" s="2"/>
      <c r="D1" s="2"/>
      <c r="E1" s="2"/>
      <c r="F1" s="2"/>
      <c r="G1" s="2"/>
      <c r="H1" s="2"/>
      <c r="I1" s="2"/>
      <c r="J1" s="2"/>
      <c r="K1" s="2"/>
    </row>
    <row r="2" ht="12.75">
      <c r="A2" s="108" t="s">
        <v>1</v>
      </c>
    </row>
    <row r="4" spans="6:11" ht="12.75">
      <c r="F4" s="117"/>
      <c r="G4" s="117"/>
      <c r="I4" s="118" t="str">
        <f>acq</f>
        <v>BuyerCo</v>
      </c>
      <c r="K4" s="118" t="str">
        <f>tgt</f>
        <v>TargetCo</v>
      </c>
    </row>
    <row r="5" spans="9:11" ht="13.5" customHeight="1" thickBot="1">
      <c r="I5" s="119">
        <f>Assumptions!H31</f>
        <v>39538</v>
      </c>
      <c r="K5" s="119">
        <f>Assumptions!L31</f>
        <v>39538</v>
      </c>
    </row>
    <row r="6" ht="12.75">
      <c r="A6" s="41" t="s">
        <v>118</v>
      </c>
    </row>
    <row r="7" ht="12.75">
      <c r="A7" t="s">
        <v>119</v>
      </c>
    </row>
    <row r="8" spans="2:11" ht="12.75">
      <c r="B8" t="s">
        <v>120</v>
      </c>
      <c r="I8" s="23">
        <f>680.67+501.127</f>
        <v>1181.797</v>
      </c>
      <c r="K8" s="23">
        <v>146.606</v>
      </c>
    </row>
    <row r="9" spans="2:11" ht="12.75">
      <c r="B9" t="s">
        <v>121</v>
      </c>
      <c r="I9" s="17">
        <v>568.503</v>
      </c>
      <c r="K9" s="17">
        <f>124.586+6.857</f>
        <v>131.443</v>
      </c>
    </row>
    <row r="10" spans="2:11" ht="12.75">
      <c r="B10" t="s">
        <v>122</v>
      </c>
      <c r="I10" s="17">
        <v>0</v>
      </c>
      <c r="K10" s="17">
        <v>0</v>
      </c>
    </row>
    <row r="11" spans="2:11" ht="12.75">
      <c r="B11" t="s">
        <v>123</v>
      </c>
      <c r="I11" s="17">
        <v>108.959</v>
      </c>
      <c r="K11" s="17">
        <v>8.828</v>
      </c>
    </row>
    <row r="12" spans="2:11" ht="13.5" customHeight="1" thickBot="1">
      <c r="B12" t="s">
        <v>124</v>
      </c>
      <c r="I12" s="17">
        <v>113.463</v>
      </c>
      <c r="K12" s="17">
        <f>7.269+0.954</f>
        <v>8.223</v>
      </c>
    </row>
    <row r="13" spans="1:11" ht="12.75">
      <c r="A13" t="s">
        <v>125</v>
      </c>
      <c r="I13" s="65">
        <f>SUM(I8:I12)</f>
        <v>1972.7220000000002</v>
      </c>
      <c r="K13" s="65">
        <f>SUM(K8:K12)</f>
        <v>295.09999999999997</v>
      </c>
    </row>
    <row r="15" spans="2:11" ht="12.75">
      <c r="B15" t="s">
        <v>126</v>
      </c>
      <c r="I15" s="23">
        <v>296.288</v>
      </c>
      <c r="K15" s="23">
        <v>32.97</v>
      </c>
    </row>
    <row r="16" spans="2:11" ht="12.75">
      <c r="B16" t="s">
        <v>127</v>
      </c>
      <c r="I16" s="17">
        <v>1487.626</v>
      </c>
      <c r="K16" s="17">
        <v>61.094</v>
      </c>
    </row>
    <row r="17" spans="2:11" ht="12.75">
      <c r="B17" t="s">
        <v>128</v>
      </c>
      <c r="I17" s="17">
        <v>284.72</v>
      </c>
      <c r="K17" s="17">
        <f>29.274+8.217</f>
        <v>37.491</v>
      </c>
    </row>
    <row r="18" spans="2:11" ht="12.75">
      <c r="B18" t="s">
        <v>129</v>
      </c>
      <c r="I18" s="17">
        <v>0</v>
      </c>
      <c r="K18" s="17">
        <v>0</v>
      </c>
    </row>
    <row r="19" spans="2:11" ht="12.75">
      <c r="B19" t="s">
        <v>130</v>
      </c>
      <c r="I19" s="17">
        <v>0</v>
      </c>
      <c r="K19" s="17">
        <v>0</v>
      </c>
    </row>
    <row r="20" spans="2:11" ht="12.75">
      <c r="B20" t="s">
        <v>131</v>
      </c>
      <c r="I20" s="17">
        <v>0</v>
      </c>
      <c r="K20" s="17">
        <v>0</v>
      </c>
    </row>
    <row r="21" spans="2:11" ht="13.5" customHeight="1" thickBot="1">
      <c r="B21" t="s">
        <v>132</v>
      </c>
      <c r="I21" s="17">
        <f>262.421+201.626</f>
        <v>464.047</v>
      </c>
      <c r="K21" s="17">
        <f>9.219+5.071</f>
        <v>14.29</v>
      </c>
    </row>
    <row r="22" spans="1:11" ht="13.5" customHeight="1" thickBot="1">
      <c r="A22" s="19" t="s">
        <v>133</v>
      </c>
      <c r="I22" s="20">
        <f>SUM(I13:I21)</f>
        <v>4505.403</v>
      </c>
      <c r="K22" s="20">
        <f>SUM(K13:K21)</f>
        <v>440.94499999999994</v>
      </c>
    </row>
    <row r="23" ht="13.5" customHeight="1" thickTop="1"/>
    <row r="24" spans="1:11" ht="12.75">
      <c r="A24" s="41" t="s">
        <v>134</v>
      </c>
      <c r="K24" s="120"/>
    </row>
    <row r="25" ht="12.75">
      <c r="A25" t="s">
        <v>135</v>
      </c>
    </row>
    <row r="26" spans="2:11" ht="12.75">
      <c r="B26" t="s">
        <v>136</v>
      </c>
      <c r="I26" s="23">
        <v>186.138</v>
      </c>
      <c r="K26" s="23">
        <v>20.662</v>
      </c>
    </row>
    <row r="27" spans="2:11" ht="12.75" customHeight="1">
      <c r="B27" t="s">
        <v>137</v>
      </c>
      <c r="I27" s="66">
        <f>222.97+172.329</f>
        <v>395.299</v>
      </c>
      <c r="K27" s="66">
        <v>15.38</v>
      </c>
    </row>
    <row r="28" spans="2:11" ht="12.75">
      <c r="B28" t="s">
        <v>138</v>
      </c>
      <c r="I28" s="17">
        <v>35.882</v>
      </c>
      <c r="K28" s="17">
        <v>2.936</v>
      </c>
    </row>
    <row r="29" spans="2:11" ht="12.75" customHeight="1">
      <c r="B29" t="s">
        <v>139</v>
      </c>
      <c r="I29" s="17">
        <v>209.226</v>
      </c>
      <c r="K29" s="66">
        <v>20.013</v>
      </c>
    </row>
    <row r="30" spans="2:11" ht="12.75">
      <c r="B30" t="s">
        <v>140</v>
      </c>
      <c r="I30" s="17">
        <v>0</v>
      </c>
      <c r="K30" s="17">
        <f>27.628+8.556</f>
        <v>36.184</v>
      </c>
    </row>
    <row r="31" spans="2:11" ht="13.5" customHeight="1" thickBot="1">
      <c r="B31" t="s">
        <v>141</v>
      </c>
      <c r="I31" s="17">
        <v>2.178</v>
      </c>
      <c r="K31" s="17">
        <v>0</v>
      </c>
    </row>
    <row r="32" spans="1:11" ht="12.75">
      <c r="A32" t="s">
        <v>142</v>
      </c>
      <c r="I32" s="65">
        <f>SUM(I26:I31)</f>
        <v>828.723</v>
      </c>
      <c r="K32" s="65">
        <f>SUM(K26:K31)</f>
        <v>95.175</v>
      </c>
    </row>
    <row r="33" ht="12.75">
      <c r="K33" s="121"/>
    </row>
    <row r="34" spans="2:11" ht="12.75">
      <c r="B34" t="s">
        <v>143</v>
      </c>
      <c r="I34" s="23">
        <v>0</v>
      </c>
      <c r="K34" s="23">
        <v>0</v>
      </c>
    </row>
    <row r="35" spans="2:11" ht="12.75">
      <c r="B35" t="s">
        <v>144</v>
      </c>
      <c r="I35" s="17">
        <v>0</v>
      </c>
      <c r="K35" s="17">
        <v>0</v>
      </c>
    </row>
    <row r="36" spans="2:11" ht="12.75" customHeight="1">
      <c r="B36" t="s">
        <v>145</v>
      </c>
      <c r="I36" s="122">
        <f>Assumptions!H25+Assumptions!J25</f>
        <v>450</v>
      </c>
      <c r="J36" s="122"/>
      <c r="K36" s="122">
        <f>Assumptions!L25+Assumptions!N25</f>
        <v>230</v>
      </c>
    </row>
    <row r="37" spans="2:11" ht="12.75">
      <c r="B37" t="s">
        <v>123</v>
      </c>
      <c r="I37" s="17">
        <v>0</v>
      </c>
      <c r="K37" s="17">
        <v>0</v>
      </c>
    </row>
    <row r="38" spans="2:11" ht="13.5" customHeight="1" thickBot="1">
      <c r="B38" t="s">
        <v>146</v>
      </c>
      <c r="I38" s="17">
        <f>289.259+213.727</f>
        <v>502.986</v>
      </c>
      <c r="K38" s="66">
        <f>8.977+5.013+3.927</f>
        <v>17.917</v>
      </c>
    </row>
    <row r="39" spans="1:11" s="19" customFormat="1" ht="12.75">
      <c r="A39" s="110" t="s">
        <v>147</v>
      </c>
      <c r="I39" s="65">
        <f>SUM(I32:I38)</f>
        <v>1781.7089999999998</v>
      </c>
      <c r="K39" s="65">
        <f>SUM(K32:K38)</f>
        <v>343.092</v>
      </c>
    </row>
    <row r="41" spans="2:11" ht="12.75">
      <c r="B41" t="s">
        <v>148</v>
      </c>
      <c r="I41" s="23">
        <v>0</v>
      </c>
      <c r="J41" s="89"/>
      <c r="K41" s="23">
        <v>0</v>
      </c>
    </row>
    <row r="42" spans="2:11" ht="12.75">
      <c r="B42" t="s">
        <v>149</v>
      </c>
      <c r="I42" s="17">
        <v>3.871</v>
      </c>
      <c r="K42" s="17">
        <v>0.629</v>
      </c>
    </row>
    <row r="43" spans="2:11" ht="12.75">
      <c r="B43" t="s">
        <v>150</v>
      </c>
      <c r="I43" s="17">
        <v>2212.7</v>
      </c>
      <c r="K43" s="17">
        <v>350.744</v>
      </c>
    </row>
    <row r="44" spans="2:11" ht="12.75">
      <c r="B44" t="s">
        <v>151</v>
      </c>
      <c r="I44" s="17">
        <v>-774.67</v>
      </c>
      <c r="K44" s="17">
        <v>-667.858</v>
      </c>
    </row>
    <row r="45" spans="2:11" ht="12.75">
      <c r="B45" t="s">
        <v>152</v>
      </c>
      <c r="I45" s="17">
        <v>6.571</v>
      </c>
      <c r="K45" s="17">
        <f>0.026-0.435</f>
        <v>-0.409</v>
      </c>
    </row>
    <row r="46" spans="2:11" ht="13.5" customHeight="1" thickBot="1">
      <c r="B46" t="s">
        <v>153</v>
      </c>
      <c r="I46" s="17">
        <v>1275.222</v>
      </c>
      <c r="K46" s="17">
        <v>414.747</v>
      </c>
    </row>
    <row r="47" spans="1:11" ht="13.5" customHeight="1" thickBot="1">
      <c r="A47" t="s">
        <v>154</v>
      </c>
      <c r="I47" s="65">
        <f>SUM(I41:I46)</f>
        <v>2723.6939999999995</v>
      </c>
      <c r="K47" s="65">
        <f>SUM(K41:K46)</f>
        <v>97.85300000000012</v>
      </c>
    </row>
    <row r="48" spans="1:11" s="19" customFormat="1" ht="13.5" customHeight="1" thickBot="1">
      <c r="A48" s="19" t="s">
        <v>155</v>
      </c>
      <c r="I48" s="20">
        <f>I47+I39</f>
        <v>4505.402999999999</v>
      </c>
      <c r="K48" s="20">
        <f>K47+K39</f>
        <v>440.9450000000001</v>
      </c>
    </row>
    <row r="49" ht="13.5" customHeight="1" thickTop="1"/>
    <row r="50" spans="1:11" s="56" customFormat="1" ht="12.75">
      <c r="A50" s="56" t="s">
        <v>156</v>
      </c>
      <c r="I50" s="123">
        <f>ROUND(ABS(I48-I22),3)</f>
        <v>0</v>
      </c>
      <c r="K50" s="123">
        <f>ROUND(ABS(K48-K22),3)</f>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X66"/>
  <sheetViews>
    <sheetView showGridLines="0" zoomScale="90" zoomScaleNormal="90" workbookViewId="0" topLeftCell="A1">
      <selection activeCell="M4" sqref="M4"/>
    </sheetView>
  </sheetViews>
  <sheetFormatPr defaultColWidth="9.140625" defaultRowHeight="12.75"/>
  <cols>
    <col min="1" max="1" width="0.85546875" style="0" customWidth="1"/>
    <col min="2" max="3" width="1.7109375" style="0" customWidth="1"/>
    <col min="4"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acq&amp;" Income Statement"</f>
        <v>BuyerCo Income Statement</v>
      </c>
      <c r="B1" s="55"/>
      <c r="C1" s="2"/>
      <c r="D1" s="2"/>
      <c r="E1" s="2"/>
      <c r="F1" s="2"/>
      <c r="G1" s="2"/>
      <c r="H1" s="2"/>
      <c r="I1" s="2"/>
      <c r="J1" s="2"/>
      <c r="K1" s="2"/>
      <c r="L1" s="2"/>
      <c r="M1" s="2"/>
      <c r="N1" s="2"/>
      <c r="O1" s="2"/>
      <c r="P1" s="2"/>
      <c r="Q1" s="2"/>
      <c r="R1" s="2"/>
      <c r="S1" s="2"/>
      <c r="T1" s="2"/>
      <c r="U1" s="2"/>
      <c r="V1" s="2"/>
      <c r="W1" s="2"/>
      <c r="X1" s="2"/>
    </row>
    <row r="2" spans="1:21" ht="12.75">
      <c r="A2" s="3" t="s">
        <v>1</v>
      </c>
      <c r="B2" s="56"/>
      <c r="M2" s="91"/>
      <c r="N2" s="91"/>
      <c r="O2" s="91"/>
      <c r="P2" s="91"/>
      <c r="Q2" s="91"/>
      <c r="R2" s="75"/>
      <c r="S2" s="91"/>
      <c r="T2" s="91"/>
      <c r="U2" s="91"/>
    </row>
    <row r="3" spans="13:22" ht="12.75" customHeight="1">
      <c r="M3" s="75"/>
      <c r="N3" s="75"/>
      <c r="O3" s="75"/>
      <c r="P3" s="75"/>
      <c r="Q3" s="75"/>
      <c r="R3" s="75"/>
      <c r="S3" s="75"/>
      <c r="T3" s="75"/>
      <c r="U3" s="75"/>
      <c r="V3" s="75"/>
    </row>
    <row r="4" spans="7:24" ht="13.5" customHeight="1" thickBot="1">
      <c r="G4" s="7" t="str">
        <f>year&amp;" Ended "&amp;IF(year="FY",TEXT(acq_fye,"mmmm d"),"December 31")&amp;","</f>
        <v>FY Ended September 30,</v>
      </c>
      <c r="H4" s="7"/>
      <c r="I4" s="7"/>
      <c r="J4" s="7"/>
      <c r="K4" s="7"/>
      <c r="L4" s="92"/>
      <c r="M4" s="7" t="str">
        <f>year&amp;" Ending "&amp;IF(year="FY",TEXT(acq_fye,"mmmm d"),"December 31")&amp;","</f>
        <v>FY Ending September 30,</v>
      </c>
      <c r="N4" s="32"/>
      <c r="O4" s="32"/>
      <c r="P4" s="32"/>
      <c r="Q4" s="32"/>
      <c r="R4" s="7"/>
      <c r="S4" s="32"/>
      <c r="T4" s="32"/>
      <c r="U4" s="32"/>
      <c r="X4" s="99" t="s">
        <v>116</v>
      </c>
    </row>
    <row r="5" spans="7:24" ht="13.5" customHeight="1" thickBot="1">
      <c r="G5" s="57">
        <f>I5-1</f>
        <v>2005</v>
      </c>
      <c r="I5" s="57">
        <f>K5-1</f>
        <v>2006</v>
      </c>
      <c r="K5" s="58">
        <f>VALUE(TEXT(acq_fye,"yyyy"))</f>
        <v>2007</v>
      </c>
      <c r="L5" s="93"/>
      <c r="M5" s="94">
        <f>K5+1</f>
        <v>2008</v>
      </c>
      <c r="O5" s="94">
        <f>M5+1</f>
        <v>2009</v>
      </c>
      <c r="Q5" s="94">
        <f>O5+1</f>
        <v>2010</v>
      </c>
      <c r="R5" s="100"/>
      <c r="S5" s="101">
        <f>Q5+1</f>
        <v>2011</v>
      </c>
      <c r="U5" s="101">
        <f>S5+1</f>
        <v>2012</v>
      </c>
      <c r="X5" s="102" t="str">
        <f>M5&amp;"-"&amp;U5</f>
        <v>2008-2012</v>
      </c>
    </row>
    <row r="6" ht="4.5" customHeight="1"/>
    <row r="7" spans="2:24" s="59" customFormat="1" ht="12.75" customHeight="1">
      <c r="B7" s="59" t="s">
        <v>87</v>
      </c>
      <c r="G7" s="60">
        <v>2038.6</v>
      </c>
      <c r="I7" s="60">
        <v>2480.1</v>
      </c>
      <c r="K7" s="60">
        <v>2836.2</v>
      </c>
      <c r="L7" s="60"/>
      <c r="M7" s="60">
        <v>3120</v>
      </c>
      <c r="O7" s="60">
        <v>3470</v>
      </c>
      <c r="Q7" s="60">
        <v>3856</v>
      </c>
      <c r="R7" s="60"/>
      <c r="S7" s="84">
        <f>Q7*(1+S8)</f>
        <v>4284.938328530259</v>
      </c>
      <c r="U7" s="84">
        <f>S7*(1+U8)</f>
        <v>4761.591410608841</v>
      </c>
      <c r="X7" s="62">
        <f>(U7/M7)^(1/(U$5-$M$5))-1</f>
        <v>0.11147419205253906</v>
      </c>
    </row>
    <row r="8" spans="3:24" s="56" customFormat="1" ht="12.75" customHeight="1">
      <c r="C8" s="56" t="s">
        <v>88</v>
      </c>
      <c r="G8" s="61" t="s">
        <v>25</v>
      </c>
      <c r="I8" s="62">
        <f>I7/G7-1</f>
        <v>0.21657019523202203</v>
      </c>
      <c r="K8" s="62">
        <f>K7/I7-1</f>
        <v>0.14358292004354656</v>
      </c>
      <c r="L8" s="62"/>
      <c r="M8" s="62">
        <f>M7/K7-1</f>
        <v>0.10006346519991549</v>
      </c>
      <c r="N8" s="3"/>
      <c r="O8" s="62">
        <f>O7/M7-1</f>
        <v>0.11217948717948723</v>
      </c>
      <c r="P8" s="3"/>
      <c r="Q8" s="62">
        <f>Q7/O7-1</f>
        <v>0.11123919308357344</v>
      </c>
      <c r="R8" s="62"/>
      <c r="S8" s="62">
        <f>Q8</f>
        <v>0.11123919308357344</v>
      </c>
      <c r="T8" s="3"/>
      <c r="U8" s="62">
        <f>S8</f>
        <v>0.11123919308357344</v>
      </c>
      <c r="X8" s="3"/>
    </row>
    <row r="9" ht="4.5" customHeight="1"/>
    <row r="10" spans="2:21" s="63" customFormat="1" ht="12.75">
      <c r="B10" s="63" t="s">
        <v>89</v>
      </c>
      <c r="G10" s="17">
        <v>1295.6</v>
      </c>
      <c r="I10" s="17">
        <v>1565.8</v>
      </c>
      <c r="K10" s="17">
        <v>1771</v>
      </c>
      <c r="L10" s="17"/>
      <c r="M10" s="17">
        <v>1945.5</v>
      </c>
      <c r="O10" s="17">
        <v>2113.5</v>
      </c>
      <c r="Q10" s="17">
        <v>2347.8</v>
      </c>
      <c r="R10" s="17"/>
      <c r="S10" s="88">
        <f>S11*S7</f>
        <v>2608.967377521614</v>
      </c>
      <c r="U10" s="88">
        <f>U11*U7</f>
        <v>2899.186803378485</v>
      </c>
    </row>
    <row r="11" spans="3:24" s="56" customFormat="1" ht="12.75" customHeight="1" thickBot="1">
      <c r="C11" s="56" t="s">
        <v>90</v>
      </c>
      <c r="G11" s="64">
        <f>G10/G7</f>
        <v>0.6355341901304817</v>
      </c>
      <c r="I11" s="64">
        <f>I10/I7</f>
        <v>0.631345510261683</v>
      </c>
      <c r="K11" s="64">
        <f>K10/K7</f>
        <v>0.6244270502785417</v>
      </c>
      <c r="L11" s="64"/>
      <c r="M11" s="64">
        <f>M10/M7</f>
        <v>0.6235576923076923</v>
      </c>
      <c r="N11" s="3"/>
      <c r="O11" s="64">
        <f>O10/O7</f>
        <v>0.6090778097982709</v>
      </c>
      <c r="P11" s="3"/>
      <c r="Q11" s="64">
        <f>Q10/Q7</f>
        <v>0.6088692946058092</v>
      </c>
      <c r="R11" s="64"/>
      <c r="S11" s="64">
        <f>Q11</f>
        <v>0.6088692946058092</v>
      </c>
      <c r="T11" s="3"/>
      <c r="U11" s="64">
        <f>S11</f>
        <v>0.6088692946058092</v>
      </c>
      <c r="X11" s="3"/>
    </row>
    <row r="12" spans="2:24" ht="12.75">
      <c r="B12" t="s">
        <v>91</v>
      </c>
      <c r="G12" s="65">
        <f>G7-G10</f>
        <v>743</v>
      </c>
      <c r="I12" s="65">
        <f>I7-I10</f>
        <v>914.3</v>
      </c>
      <c r="K12" s="65">
        <f>K7-K10</f>
        <v>1065.1999999999998</v>
      </c>
      <c r="L12" s="95"/>
      <c r="M12" s="65">
        <f>M7-M10</f>
        <v>1174.5</v>
      </c>
      <c r="O12" s="65">
        <f>O7-O10</f>
        <v>1356.5</v>
      </c>
      <c r="Q12" s="65">
        <f>Q7-Q10</f>
        <v>1508.1999999999998</v>
      </c>
      <c r="R12" s="95"/>
      <c r="S12" s="65">
        <f>S7-S10</f>
        <v>1675.9709510086454</v>
      </c>
      <c r="U12" s="65">
        <f>U7-U10</f>
        <v>1862.4046072303563</v>
      </c>
      <c r="X12" s="62">
        <f>(U12/M12)^(1/(U$5-$M$5))-1</f>
        <v>0.12216121460743179</v>
      </c>
    </row>
    <row r="13" spans="3:24" s="56" customFormat="1" ht="12.75" customHeight="1">
      <c r="C13" s="56" t="s">
        <v>92</v>
      </c>
      <c r="G13" s="64">
        <f>G12/G$7</f>
        <v>0.3644658098695183</v>
      </c>
      <c r="I13" s="64">
        <f>I12/I$7</f>
        <v>0.368654489738317</v>
      </c>
      <c r="K13" s="64">
        <f>K12/K$7</f>
        <v>0.37557294972145827</v>
      </c>
      <c r="L13" s="64"/>
      <c r="M13" s="64">
        <f>M12/M$7</f>
        <v>0.3764423076923077</v>
      </c>
      <c r="N13" s="3"/>
      <c r="O13" s="64">
        <f>O12/O$7</f>
        <v>0.3909221902017291</v>
      </c>
      <c r="P13" s="3"/>
      <c r="Q13" s="64">
        <f>Q12/Q$7</f>
        <v>0.3911307053941908</v>
      </c>
      <c r="R13" s="64"/>
      <c r="S13" s="64">
        <f>S12/S$7</f>
        <v>0.39113070539419087</v>
      </c>
      <c r="T13" s="3"/>
      <c r="U13" s="64">
        <f>U12/U$7</f>
        <v>0.39113070539419087</v>
      </c>
      <c r="X13" s="3"/>
    </row>
    <row r="14" ht="4.5" customHeight="1"/>
    <row r="15" spans="2:21" s="63" customFormat="1" ht="12.75" customHeight="1">
      <c r="B15" s="63" t="s">
        <v>93</v>
      </c>
      <c r="G15" s="17">
        <v>253.6</v>
      </c>
      <c r="I15" s="66">
        <v>392.3</v>
      </c>
      <c r="K15" s="17">
        <v>482.4</v>
      </c>
      <c r="L15" s="17"/>
      <c r="M15" s="17">
        <v>506.6</v>
      </c>
      <c r="O15" s="17">
        <v>622.3</v>
      </c>
      <c r="Q15" s="17">
        <v>675.5</v>
      </c>
      <c r="R15" s="17"/>
      <c r="S15" s="88">
        <f>S16*S7</f>
        <v>750.6420749279538</v>
      </c>
      <c r="U15" s="88">
        <f>U16*U7</f>
        <v>834.1428936375187</v>
      </c>
    </row>
    <row r="16" spans="3:24" s="56" customFormat="1" ht="12.75" customHeight="1">
      <c r="C16" s="56" t="s">
        <v>90</v>
      </c>
      <c r="G16" s="64">
        <f>G15/G$7</f>
        <v>0.1243990974197979</v>
      </c>
      <c r="I16" s="64">
        <f>I15/I$7</f>
        <v>0.15817910568122254</v>
      </c>
      <c r="K16" s="64">
        <f>K15/K$7</f>
        <v>0.1700867357732177</v>
      </c>
      <c r="L16" s="64"/>
      <c r="M16" s="64">
        <f>M15/M$7</f>
        <v>0.16237179487179487</v>
      </c>
      <c r="N16" s="3"/>
      <c r="O16" s="64">
        <f>O15/O$7</f>
        <v>0.1793371757925072</v>
      </c>
      <c r="P16" s="3"/>
      <c r="Q16" s="64">
        <f>Q15/Q$7</f>
        <v>0.17518153526970953</v>
      </c>
      <c r="R16" s="64"/>
      <c r="S16" s="64">
        <f>Q16</f>
        <v>0.17518153526970953</v>
      </c>
      <c r="T16" s="3"/>
      <c r="U16" s="64">
        <f>S16</f>
        <v>0.17518153526970953</v>
      </c>
      <c r="X16" s="3"/>
    </row>
    <row r="17" ht="4.5" customHeight="1"/>
    <row r="18" spans="1:22" ht="4.5" customHeight="1">
      <c r="A18" s="67"/>
      <c r="B18" s="67"/>
      <c r="C18" s="67"/>
      <c r="D18" s="67"/>
      <c r="E18" s="67"/>
      <c r="F18" s="67"/>
      <c r="G18" s="67"/>
      <c r="H18" s="67"/>
      <c r="I18" s="67"/>
      <c r="J18" s="67"/>
      <c r="K18" s="67"/>
      <c r="L18" s="67"/>
      <c r="M18" s="67"/>
      <c r="N18" s="67"/>
      <c r="O18" s="67"/>
      <c r="P18" s="67"/>
      <c r="Q18" s="67"/>
      <c r="R18" s="67"/>
      <c r="S18" s="67"/>
      <c r="T18" s="67"/>
      <c r="U18" s="67"/>
      <c r="V18" s="68"/>
    </row>
    <row r="19" spans="1:24" s="19" customFormat="1" ht="12.75" customHeight="1">
      <c r="A19" s="69"/>
      <c r="B19" s="69" t="s">
        <v>94</v>
      </c>
      <c r="C19" s="69"/>
      <c r="D19" s="69"/>
      <c r="E19" s="69"/>
      <c r="F19" s="69"/>
      <c r="G19" s="70">
        <f>G12-G15</f>
        <v>489.4</v>
      </c>
      <c r="H19" s="69"/>
      <c r="I19" s="70">
        <f>I12-I15</f>
        <v>522</v>
      </c>
      <c r="J19" s="69"/>
      <c r="K19" s="70">
        <f>K12-K15</f>
        <v>582.7999999999998</v>
      </c>
      <c r="L19" s="70"/>
      <c r="M19" s="70">
        <f>M12-M15</f>
        <v>667.9</v>
      </c>
      <c r="N19" s="69"/>
      <c r="O19" s="70">
        <f>O12-O15</f>
        <v>734.2</v>
      </c>
      <c r="P19" s="69"/>
      <c r="Q19" s="70">
        <f>Q12-Q15</f>
        <v>832.6999999999998</v>
      </c>
      <c r="R19" s="70"/>
      <c r="S19" s="70">
        <f>S12-S15</f>
        <v>925.3288760806917</v>
      </c>
      <c r="T19" s="69"/>
      <c r="U19" s="70">
        <f>U12-U15</f>
        <v>1028.2617135928376</v>
      </c>
      <c r="V19" s="71"/>
      <c r="X19" s="62">
        <f>(U19/M19)^(1/(U$5-$M$5))-1</f>
        <v>0.11390474901506442</v>
      </c>
    </row>
    <row r="20" spans="1:24" s="56" customFormat="1" ht="12.75" customHeight="1">
      <c r="A20" s="72"/>
      <c r="B20" s="72"/>
      <c r="C20" s="72" t="s">
        <v>92</v>
      </c>
      <c r="D20" s="72"/>
      <c r="E20" s="72"/>
      <c r="F20" s="72"/>
      <c r="G20" s="73">
        <f>G19/G$7</f>
        <v>0.2400667124497204</v>
      </c>
      <c r="H20" s="72"/>
      <c r="I20" s="73">
        <f>I19/I$7</f>
        <v>0.21047538405709448</v>
      </c>
      <c r="J20" s="72"/>
      <c r="K20" s="73">
        <f>K19/K$7</f>
        <v>0.20548621394824057</v>
      </c>
      <c r="L20" s="73"/>
      <c r="M20" s="73">
        <f>M19/M$7</f>
        <v>0.21407051282051281</v>
      </c>
      <c r="N20" s="96"/>
      <c r="O20" s="73">
        <f>O19/O$7</f>
        <v>0.21158501440922192</v>
      </c>
      <c r="P20" s="96"/>
      <c r="Q20" s="73">
        <f>Q19/Q$7</f>
        <v>0.21594917012448128</v>
      </c>
      <c r="R20" s="73"/>
      <c r="S20" s="73">
        <f>S19/S$7</f>
        <v>0.21594917012448134</v>
      </c>
      <c r="T20" s="96"/>
      <c r="U20" s="73">
        <f>U19/U$7</f>
        <v>0.2159491701244813</v>
      </c>
      <c r="V20" s="74"/>
      <c r="X20" s="3"/>
    </row>
    <row r="21" spans="1:22" ht="4.5" customHeight="1">
      <c r="A21" s="75"/>
      <c r="B21" s="75"/>
      <c r="C21" s="75"/>
      <c r="D21" s="75"/>
      <c r="E21" s="75"/>
      <c r="F21" s="75"/>
      <c r="G21" s="75"/>
      <c r="H21" s="75"/>
      <c r="I21" s="75"/>
      <c r="J21" s="75"/>
      <c r="K21" s="75"/>
      <c r="L21" s="75"/>
      <c r="M21" s="75"/>
      <c r="N21" s="75"/>
      <c r="O21" s="75"/>
      <c r="P21" s="75"/>
      <c r="Q21" s="75"/>
      <c r="R21" s="75"/>
      <c r="S21" s="75"/>
      <c r="T21" s="75"/>
      <c r="U21" s="75"/>
      <c r="V21" s="76"/>
    </row>
    <row r="22" spans="1:22" s="63" customFormat="1" ht="12.75" customHeight="1">
      <c r="A22" s="77"/>
      <c r="B22" s="77" t="s">
        <v>95</v>
      </c>
      <c r="C22" s="77"/>
      <c r="D22" s="77"/>
      <c r="E22" s="77"/>
      <c r="F22" s="77"/>
      <c r="G22" s="66">
        <v>78.5</v>
      </c>
      <c r="H22" s="77"/>
      <c r="I22" s="78">
        <v>80.3</v>
      </c>
      <c r="J22" s="77"/>
      <c r="K22" s="78">
        <v>90</v>
      </c>
      <c r="L22" s="78"/>
      <c r="M22" s="78">
        <v>108.8</v>
      </c>
      <c r="N22" s="77"/>
      <c r="O22" s="78">
        <v>74.7</v>
      </c>
      <c r="P22" s="77"/>
      <c r="Q22" s="78">
        <v>85.4</v>
      </c>
      <c r="R22" s="78"/>
      <c r="S22" s="97">
        <f>S23*S7</f>
        <v>94.89982708933718</v>
      </c>
      <c r="T22" s="77"/>
      <c r="U22" s="97">
        <f>U23*U7</f>
        <v>105.45640727852569</v>
      </c>
      <c r="V22" s="79"/>
    </row>
    <row r="23" spans="1:24" s="56" customFormat="1" ht="12.75" customHeight="1">
      <c r="A23" s="72"/>
      <c r="B23" s="72"/>
      <c r="C23" s="72" t="s">
        <v>90</v>
      </c>
      <c r="D23" s="72"/>
      <c r="E23" s="72"/>
      <c r="F23" s="72"/>
      <c r="G23" s="73">
        <f>G22/G$7</f>
        <v>0.038506818404787604</v>
      </c>
      <c r="H23" s="72"/>
      <c r="I23" s="73">
        <f>I22/I$7</f>
        <v>0.032377726704568364</v>
      </c>
      <c r="J23" s="72"/>
      <c r="K23" s="73">
        <f>K22/K$7</f>
        <v>0.03173259995768987</v>
      </c>
      <c r="L23" s="73"/>
      <c r="M23" s="73">
        <f>M22/M$7</f>
        <v>0.03487179487179487</v>
      </c>
      <c r="N23" s="96"/>
      <c r="O23" s="73">
        <f>O22/O$7</f>
        <v>0.021527377521613832</v>
      </c>
      <c r="P23" s="96"/>
      <c r="Q23" s="73">
        <f>Q22/Q$7</f>
        <v>0.022147302904564316</v>
      </c>
      <c r="R23" s="73"/>
      <c r="S23" s="73">
        <f>Q23</f>
        <v>0.022147302904564316</v>
      </c>
      <c r="T23" s="96"/>
      <c r="U23" s="73">
        <f>S23</f>
        <v>0.022147302904564316</v>
      </c>
      <c r="V23" s="74"/>
      <c r="X23" s="3"/>
    </row>
    <row r="24" spans="1:22" s="63" customFormat="1" ht="12.75" customHeight="1">
      <c r="A24" s="77"/>
      <c r="B24" s="77" t="s">
        <v>96</v>
      </c>
      <c r="C24" s="77"/>
      <c r="D24" s="77"/>
      <c r="E24" s="77"/>
      <c r="F24" s="77"/>
      <c r="G24" s="66">
        <v>15.4</v>
      </c>
      <c r="H24" s="77"/>
      <c r="I24" s="78">
        <v>37.6</v>
      </c>
      <c r="J24" s="77"/>
      <c r="K24" s="78">
        <v>75</v>
      </c>
      <c r="L24" s="78"/>
      <c r="M24" s="78">
        <v>61.8</v>
      </c>
      <c r="N24" s="77"/>
      <c r="O24" s="78">
        <v>62</v>
      </c>
      <c r="P24" s="77"/>
      <c r="Q24" s="78">
        <v>62</v>
      </c>
      <c r="R24" s="78"/>
      <c r="S24" s="97">
        <f>Q24</f>
        <v>62</v>
      </c>
      <c r="T24" s="77"/>
      <c r="U24" s="97">
        <f>S24</f>
        <v>62</v>
      </c>
      <c r="V24" s="79"/>
    </row>
    <row r="25" spans="1:24" s="56" customFormat="1" ht="12.75" customHeight="1" thickBot="1">
      <c r="A25" s="72"/>
      <c r="B25" s="72"/>
      <c r="C25" s="72" t="s">
        <v>90</v>
      </c>
      <c r="D25" s="72"/>
      <c r="E25" s="72"/>
      <c r="F25" s="72"/>
      <c r="G25" s="73">
        <f>G24/G$7</f>
        <v>0.007554203865397823</v>
      </c>
      <c r="H25" s="72"/>
      <c r="I25" s="73">
        <f>I24/I$7</f>
        <v>0.015160679004878837</v>
      </c>
      <c r="J25" s="72"/>
      <c r="K25" s="73">
        <f>K24/K$7</f>
        <v>0.02644383329807489</v>
      </c>
      <c r="L25" s="73"/>
      <c r="M25" s="73">
        <f>M24/M$7</f>
        <v>0.019807692307692307</v>
      </c>
      <c r="N25" s="96"/>
      <c r="O25" s="73">
        <f>O24/O$7</f>
        <v>0.017867435158501442</v>
      </c>
      <c r="P25" s="96"/>
      <c r="Q25" s="73">
        <f>Q24/Q$7</f>
        <v>0.016078838174273857</v>
      </c>
      <c r="R25" s="73"/>
      <c r="S25" s="73">
        <f>S24/S$7</f>
        <v>0.014469286427575284</v>
      </c>
      <c r="T25" s="96"/>
      <c r="U25" s="73">
        <f>U24/U$7</f>
        <v>0.013020856821495393</v>
      </c>
      <c r="V25" s="74"/>
      <c r="X25" s="3"/>
    </row>
    <row r="26" spans="1:22" ht="12.75">
      <c r="A26" s="75"/>
      <c r="B26" s="75" t="s">
        <v>97</v>
      </c>
      <c r="C26" s="75"/>
      <c r="D26" s="75"/>
      <c r="E26" s="75"/>
      <c r="F26" s="75"/>
      <c r="G26" s="90">
        <f>G24+G22</f>
        <v>93.9</v>
      </c>
      <c r="H26" s="75"/>
      <c r="I26" s="90">
        <f>I24+I22</f>
        <v>117.9</v>
      </c>
      <c r="J26" s="75"/>
      <c r="K26" s="90">
        <f>K24+K22</f>
        <v>165</v>
      </c>
      <c r="L26" s="97"/>
      <c r="M26" s="90">
        <f>M24+M22</f>
        <v>170.6</v>
      </c>
      <c r="N26" s="75"/>
      <c r="O26" s="90">
        <f>O24+O22</f>
        <v>136.7</v>
      </c>
      <c r="P26" s="75"/>
      <c r="Q26" s="90">
        <f>Q24+Q22</f>
        <v>147.4</v>
      </c>
      <c r="R26" s="97"/>
      <c r="S26" s="90">
        <f>S24+S22</f>
        <v>156.89982708933718</v>
      </c>
      <c r="T26" s="75"/>
      <c r="U26" s="90">
        <f>U24+U22</f>
        <v>167.4564072785257</v>
      </c>
      <c r="V26" s="76"/>
    </row>
    <row r="27" spans="1:24" s="56" customFormat="1" ht="12.75" customHeight="1">
      <c r="A27" s="72"/>
      <c r="B27" s="72"/>
      <c r="C27" s="72" t="s">
        <v>90</v>
      </c>
      <c r="D27" s="72"/>
      <c r="E27" s="72"/>
      <c r="F27" s="72"/>
      <c r="G27" s="73">
        <f>G26/G$7</f>
        <v>0.04606102227018543</v>
      </c>
      <c r="H27" s="72"/>
      <c r="I27" s="73">
        <f>I26/I$7</f>
        <v>0.0475384057094472</v>
      </c>
      <c r="J27" s="72"/>
      <c r="K27" s="73">
        <f>K26/K$7</f>
        <v>0.058176433255764756</v>
      </c>
      <c r="L27" s="73"/>
      <c r="M27" s="73">
        <f>M26/M$7</f>
        <v>0.05467948717948718</v>
      </c>
      <c r="N27" s="96"/>
      <c r="O27" s="73">
        <f>O26/O$7</f>
        <v>0.03939481268011527</v>
      </c>
      <c r="P27" s="96"/>
      <c r="Q27" s="73">
        <f>Q26/Q$7</f>
        <v>0.03822614107883818</v>
      </c>
      <c r="R27" s="73"/>
      <c r="S27" s="73">
        <f>S26/S$7</f>
        <v>0.0366165893321396</v>
      </c>
      <c r="T27" s="96"/>
      <c r="U27" s="73">
        <f>U26/U$7</f>
        <v>0.03516815972605971</v>
      </c>
      <c r="V27" s="74"/>
      <c r="X27" s="3"/>
    </row>
    <row r="28" spans="1:22" ht="4.5" customHeight="1">
      <c r="A28" s="75"/>
      <c r="B28" s="75"/>
      <c r="C28" s="75"/>
      <c r="D28" s="75"/>
      <c r="E28" s="75"/>
      <c r="F28" s="75"/>
      <c r="G28" s="75"/>
      <c r="H28" s="75"/>
      <c r="I28" s="75"/>
      <c r="J28" s="75"/>
      <c r="K28" s="75"/>
      <c r="L28" s="75"/>
      <c r="M28" s="75"/>
      <c r="N28" s="75"/>
      <c r="O28" s="75"/>
      <c r="P28" s="75"/>
      <c r="Q28" s="75"/>
      <c r="R28" s="75"/>
      <c r="S28" s="75"/>
      <c r="T28" s="75"/>
      <c r="U28" s="75"/>
      <c r="V28" s="76"/>
    </row>
    <row r="29" spans="1:22" s="63" customFormat="1" ht="12.75">
      <c r="A29" s="77"/>
      <c r="B29" s="77" t="s">
        <v>98</v>
      </c>
      <c r="C29" s="77"/>
      <c r="D29" s="77"/>
      <c r="E29" s="77"/>
      <c r="F29" s="77"/>
      <c r="G29" s="78">
        <v>44.5</v>
      </c>
      <c r="H29" s="77"/>
      <c r="I29" s="78">
        <v>46.2</v>
      </c>
      <c r="J29" s="77"/>
      <c r="K29" s="78">
        <v>53.6</v>
      </c>
      <c r="L29" s="78"/>
      <c r="M29" s="78">
        <v>54.5</v>
      </c>
      <c r="N29" s="77"/>
      <c r="O29" s="78">
        <v>53.7</v>
      </c>
      <c r="P29" s="77"/>
      <c r="Q29" s="78">
        <v>59.6</v>
      </c>
      <c r="R29" s="78"/>
      <c r="S29" s="97">
        <f>S30*S7</f>
        <v>66.22985590778099</v>
      </c>
      <c r="T29" s="77"/>
      <c r="U29" s="97">
        <f>U30*U7</f>
        <v>73.59721163700388</v>
      </c>
      <c r="V29" s="79"/>
    </row>
    <row r="30" spans="1:24" s="56" customFormat="1" ht="12.75" customHeight="1">
      <c r="A30" s="72"/>
      <c r="B30" s="72"/>
      <c r="C30" s="72" t="s">
        <v>90</v>
      </c>
      <c r="D30" s="72"/>
      <c r="E30" s="72"/>
      <c r="F30" s="72"/>
      <c r="G30" s="73">
        <f>G29/G$7</f>
        <v>0.021828705974688514</v>
      </c>
      <c r="H30" s="72"/>
      <c r="I30" s="73">
        <f>I29/I$7</f>
        <v>0.01862828111769687</v>
      </c>
      <c r="J30" s="72"/>
      <c r="K30" s="73">
        <f>K29/K$7</f>
        <v>0.018898526197024187</v>
      </c>
      <c r="L30" s="73"/>
      <c r="M30" s="73">
        <f>M29/M$7</f>
        <v>0.01746794871794872</v>
      </c>
      <c r="N30" s="96"/>
      <c r="O30" s="73">
        <f>O29/O$7</f>
        <v>0.015475504322766571</v>
      </c>
      <c r="P30" s="96"/>
      <c r="Q30" s="73">
        <f>Q29/Q$7</f>
        <v>0.01545643153526971</v>
      </c>
      <c r="R30" s="73"/>
      <c r="S30" s="73">
        <f>Q30</f>
        <v>0.01545643153526971</v>
      </c>
      <c r="T30" s="96"/>
      <c r="U30" s="73">
        <f>S30</f>
        <v>0.01545643153526971</v>
      </c>
      <c r="V30" s="74"/>
      <c r="X30" s="3"/>
    </row>
    <row r="31" spans="1:22" ht="4.5" customHeight="1">
      <c r="A31" s="75"/>
      <c r="B31" s="75"/>
      <c r="C31" s="75"/>
      <c r="D31" s="75"/>
      <c r="E31" s="75"/>
      <c r="F31" s="75"/>
      <c r="G31" s="75"/>
      <c r="H31" s="75"/>
      <c r="I31" s="75"/>
      <c r="J31" s="75"/>
      <c r="K31" s="75"/>
      <c r="L31" s="75"/>
      <c r="M31" s="75"/>
      <c r="N31" s="75"/>
      <c r="O31" s="75"/>
      <c r="P31" s="75"/>
      <c r="Q31" s="75"/>
      <c r="R31" s="75"/>
      <c r="S31" s="75"/>
      <c r="T31" s="75"/>
      <c r="U31" s="75"/>
      <c r="V31" s="76"/>
    </row>
    <row r="32" spans="1:24" s="19" customFormat="1" ht="12.75" customHeight="1">
      <c r="A32" s="69"/>
      <c r="B32" s="69" t="s">
        <v>99</v>
      </c>
      <c r="C32" s="69"/>
      <c r="D32" s="69"/>
      <c r="E32" s="69"/>
      <c r="F32" s="69"/>
      <c r="G32" s="70">
        <f>G19-G26-G29</f>
        <v>351</v>
      </c>
      <c r="H32" s="69"/>
      <c r="I32" s="70">
        <f>I19-I26-I29</f>
        <v>357.90000000000003</v>
      </c>
      <c r="J32" s="69"/>
      <c r="K32" s="70">
        <f>K19-K26-K29</f>
        <v>364.1999999999998</v>
      </c>
      <c r="L32" s="70"/>
      <c r="M32" s="70">
        <f>M19-M26-M29</f>
        <v>442.79999999999995</v>
      </c>
      <c r="N32" s="69"/>
      <c r="O32" s="70">
        <f>O19-O26-O29</f>
        <v>543.8</v>
      </c>
      <c r="P32" s="69"/>
      <c r="Q32" s="70">
        <f>Q19-Q26-Q29</f>
        <v>625.6999999999998</v>
      </c>
      <c r="R32" s="70"/>
      <c r="S32" s="70">
        <f>S19-S26-S29</f>
        <v>702.1991930835734</v>
      </c>
      <c r="T32" s="69"/>
      <c r="U32" s="70">
        <f>U19-U26-U29</f>
        <v>787.208094677308</v>
      </c>
      <c r="V32" s="71"/>
      <c r="X32" s="62">
        <f>(U32/M32)^(1/(U$5-$M$5))-1</f>
        <v>0.15470350677743605</v>
      </c>
    </row>
    <row r="33" spans="1:24" s="56" customFormat="1" ht="12.75" customHeight="1">
      <c r="A33" s="72"/>
      <c r="B33" s="72"/>
      <c r="C33" s="72" t="s">
        <v>92</v>
      </c>
      <c r="D33" s="72"/>
      <c r="E33" s="72"/>
      <c r="F33" s="72"/>
      <c r="G33" s="73">
        <f>G32/G$7</f>
        <v>0.17217698420484648</v>
      </c>
      <c r="H33" s="72"/>
      <c r="I33" s="73">
        <f>I32/I$7</f>
        <v>0.14430869722995043</v>
      </c>
      <c r="J33" s="72"/>
      <c r="K33" s="73">
        <f>K32/K$7</f>
        <v>0.1284112544954516</v>
      </c>
      <c r="L33" s="73"/>
      <c r="M33" s="73">
        <f>M32/M$7</f>
        <v>0.1419230769230769</v>
      </c>
      <c r="N33" s="96"/>
      <c r="O33" s="73">
        <f>O32/O$7</f>
        <v>0.15671469740634003</v>
      </c>
      <c r="P33" s="96"/>
      <c r="Q33" s="73">
        <f>Q32/Q$7</f>
        <v>0.1622665975103734</v>
      </c>
      <c r="R33" s="73"/>
      <c r="S33" s="73">
        <f>S32/S$7</f>
        <v>0.163876149257072</v>
      </c>
      <c r="T33" s="96"/>
      <c r="U33" s="73">
        <f>U32/U$7</f>
        <v>0.16532457886315188</v>
      </c>
      <c r="V33" s="74"/>
      <c r="X33" s="3"/>
    </row>
    <row r="34" spans="1:22" ht="4.5" customHeight="1">
      <c r="A34" s="75"/>
      <c r="B34" s="75"/>
      <c r="C34" s="75"/>
      <c r="D34" s="75"/>
      <c r="E34" s="75"/>
      <c r="F34" s="75"/>
      <c r="G34" s="75"/>
      <c r="H34" s="75"/>
      <c r="I34" s="75"/>
      <c r="J34" s="75"/>
      <c r="K34" s="75"/>
      <c r="L34" s="75"/>
      <c r="M34" s="75"/>
      <c r="N34" s="75"/>
      <c r="O34" s="75"/>
      <c r="P34" s="75"/>
      <c r="Q34" s="75"/>
      <c r="R34" s="75"/>
      <c r="S34" s="75"/>
      <c r="T34" s="75"/>
      <c r="U34" s="75"/>
      <c r="V34" s="76"/>
    </row>
    <row r="35" spans="1:24" s="19" customFormat="1" ht="12.75">
      <c r="A35" s="69"/>
      <c r="B35" s="69" t="s">
        <v>100</v>
      </c>
      <c r="C35" s="69"/>
      <c r="D35" s="69"/>
      <c r="E35" s="69"/>
      <c r="F35" s="69"/>
      <c r="G35" s="70">
        <f>G32+G24+G29</f>
        <v>410.9</v>
      </c>
      <c r="H35" s="69"/>
      <c r="I35" s="70">
        <f>I32+I24+I29</f>
        <v>441.70000000000005</v>
      </c>
      <c r="J35" s="69"/>
      <c r="K35" s="70">
        <f>K32+K24+K29</f>
        <v>492.79999999999984</v>
      </c>
      <c r="L35" s="70"/>
      <c r="M35" s="70">
        <f>M32+M24+M29</f>
        <v>559.0999999999999</v>
      </c>
      <c r="N35" s="69"/>
      <c r="O35" s="70">
        <f>O32+O24+O29</f>
        <v>659.5</v>
      </c>
      <c r="P35" s="69"/>
      <c r="Q35" s="70">
        <f>Q32+Q24+Q29</f>
        <v>747.2999999999998</v>
      </c>
      <c r="R35" s="70"/>
      <c r="S35" s="70">
        <f>S32+S24+S29</f>
        <v>830.4290489913544</v>
      </c>
      <c r="T35" s="69"/>
      <c r="U35" s="70">
        <f>U32+U24+U29</f>
        <v>922.8053063143119</v>
      </c>
      <c r="V35" s="71"/>
      <c r="X35" s="62">
        <f>(U35/M35)^(1/(U$5-$M$5))-1</f>
        <v>0.13345725783033746</v>
      </c>
    </row>
    <row r="36" spans="1:24" s="56" customFormat="1" ht="12.75" customHeight="1">
      <c r="A36" s="72"/>
      <c r="B36" s="72"/>
      <c r="C36" s="72" t="s">
        <v>92</v>
      </c>
      <c r="D36" s="72"/>
      <c r="E36" s="72"/>
      <c r="F36" s="72"/>
      <c r="G36" s="73">
        <f>G35/G$7</f>
        <v>0.2015598940449328</v>
      </c>
      <c r="H36" s="72"/>
      <c r="I36" s="73">
        <f>I35/I$7</f>
        <v>0.17809765735252614</v>
      </c>
      <c r="J36" s="72"/>
      <c r="K36" s="73">
        <f>K35/K$7</f>
        <v>0.1737536139905507</v>
      </c>
      <c r="L36" s="73"/>
      <c r="M36" s="73">
        <f>M35/M$7</f>
        <v>0.17919871794871792</v>
      </c>
      <c r="N36" s="96"/>
      <c r="O36" s="73">
        <f>O35/O$7</f>
        <v>0.19005763688760807</v>
      </c>
      <c r="P36" s="96"/>
      <c r="Q36" s="73">
        <f>Q35/Q$7</f>
        <v>0.19380186721991696</v>
      </c>
      <c r="R36" s="73"/>
      <c r="S36" s="73">
        <f>S35/S$7</f>
        <v>0.19380186721991702</v>
      </c>
      <c r="T36" s="96"/>
      <c r="U36" s="73">
        <f>U35/U$7</f>
        <v>0.193801867219917</v>
      </c>
      <c r="V36" s="74"/>
      <c r="X36" s="3"/>
    </row>
    <row r="37" spans="1:22" ht="4.5" customHeight="1">
      <c r="A37" s="80"/>
      <c r="B37" s="80"/>
      <c r="C37" s="80"/>
      <c r="D37" s="80"/>
      <c r="E37" s="80"/>
      <c r="F37" s="80"/>
      <c r="G37" s="80"/>
      <c r="H37" s="80"/>
      <c r="I37" s="80"/>
      <c r="J37" s="80"/>
      <c r="K37" s="80"/>
      <c r="L37" s="80"/>
      <c r="M37" s="80"/>
      <c r="N37" s="80"/>
      <c r="O37" s="80"/>
      <c r="P37" s="80"/>
      <c r="Q37" s="80"/>
      <c r="R37" s="80"/>
      <c r="S37" s="80"/>
      <c r="T37" s="80"/>
      <c r="U37" s="80"/>
      <c r="V37" s="81"/>
    </row>
    <row r="38" ht="4.5" customHeight="1">
      <c r="C38" s="82"/>
    </row>
    <row r="39" spans="2:21" s="63" customFormat="1" ht="12.75">
      <c r="B39" s="63" t="s">
        <v>101</v>
      </c>
      <c r="G39" s="17">
        <v>-26.6</v>
      </c>
      <c r="I39" s="17">
        <v>-45.5</v>
      </c>
      <c r="K39" s="17">
        <v>-42.6</v>
      </c>
      <c r="L39" s="17"/>
      <c r="M39" s="17">
        <v>-36.8</v>
      </c>
      <c r="O39" s="17">
        <v>-44.3</v>
      </c>
      <c r="Q39" s="17">
        <v>-52.3</v>
      </c>
      <c r="R39" s="17"/>
      <c r="S39" s="88">
        <f>Q39</f>
        <v>-52.3</v>
      </c>
      <c r="U39" s="88">
        <f>S39</f>
        <v>-52.3</v>
      </c>
    </row>
    <row r="40" spans="2:21" ht="12.75">
      <c r="B40" t="s">
        <v>102</v>
      </c>
      <c r="G40" s="83">
        <v>0</v>
      </c>
      <c r="I40" s="83">
        <v>0</v>
      </c>
      <c r="K40" s="83">
        <v>0</v>
      </c>
      <c r="L40" s="83"/>
      <c r="M40" s="83">
        <v>0</v>
      </c>
      <c r="O40" s="83">
        <v>0</v>
      </c>
      <c r="Q40" s="83">
        <v>0</v>
      </c>
      <c r="R40" s="83"/>
      <c r="S40" s="103">
        <f>Q40</f>
        <v>0</v>
      </c>
      <c r="T40" s="98"/>
      <c r="U40" s="103">
        <f>S40</f>
        <v>0</v>
      </c>
    </row>
    <row r="41" spans="2:21" ht="12.75">
      <c r="B41" t="s">
        <v>103</v>
      </c>
      <c r="G41" s="83">
        <v>0</v>
      </c>
      <c r="I41" s="83">
        <v>0</v>
      </c>
      <c r="K41" s="83">
        <v>0</v>
      </c>
      <c r="L41" s="83"/>
      <c r="M41" s="83">
        <v>0</v>
      </c>
      <c r="O41" s="83">
        <v>0</v>
      </c>
      <c r="Q41" s="83">
        <v>0</v>
      </c>
      <c r="R41" s="83"/>
      <c r="S41" s="103">
        <f>Q41</f>
        <v>0</v>
      </c>
      <c r="T41" s="98"/>
      <c r="U41" s="103">
        <f>S41</f>
        <v>0</v>
      </c>
    </row>
    <row r="42" spans="2:21" s="63" customFormat="1" ht="13.5" customHeight="1" thickBot="1">
      <c r="B42" s="63" t="s">
        <v>104</v>
      </c>
      <c r="G42" s="17">
        <v>4.3</v>
      </c>
      <c r="I42" s="17">
        <v>3.8</v>
      </c>
      <c r="K42" s="17">
        <v>-8</v>
      </c>
      <c r="L42" s="17"/>
      <c r="M42" s="83">
        <v>0</v>
      </c>
      <c r="N42" s="98"/>
      <c r="O42" s="83">
        <v>0</v>
      </c>
      <c r="P42" s="98"/>
      <c r="Q42" s="83">
        <v>0</v>
      </c>
      <c r="R42" s="83"/>
      <c r="S42" s="103">
        <f>Q42</f>
        <v>0</v>
      </c>
      <c r="T42" s="104"/>
      <c r="U42" s="103">
        <f>S42</f>
        <v>0</v>
      </c>
    </row>
    <row r="43" spans="2:24" ht="12.75">
      <c r="B43" t="s">
        <v>105</v>
      </c>
      <c r="G43" s="65">
        <f>G35-SUM(G39:G42)</f>
        <v>433.2</v>
      </c>
      <c r="I43" s="65">
        <f>I35-SUM(I39:I42)</f>
        <v>483.40000000000003</v>
      </c>
      <c r="K43" s="65">
        <f>K35-SUM(K39:K42)</f>
        <v>543.3999999999999</v>
      </c>
      <c r="L43" s="95"/>
      <c r="M43" s="65">
        <f>M35-SUM(M39:M42)</f>
        <v>595.8999999999999</v>
      </c>
      <c r="O43" s="65">
        <f>O35-SUM(O39:O42)</f>
        <v>703.8</v>
      </c>
      <c r="Q43" s="65">
        <f>Q35-SUM(Q39:Q42)</f>
        <v>799.5999999999998</v>
      </c>
      <c r="R43" s="95"/>
      <c r="S43" s="65">
        <f>S35-SUM(S39:S42)</f>
        <v>882.7290489913544</v>
      </c>
      <c r="U43" s="65">
        <f>U35-SUM(U39:U42)</f>
        <v>975.1053063143119</v>
      </c>
      <c r="X43" s="62">
        <f>(U43/M43)^(1/(U$5-$M$5))-1</f>
        <v>0.13101804393497218</v>
      </c>
    </row>
    <row r="44" ht="4.5" customHeight="1"/>
    <row r="45" spans="2:24" s="63" customFormat="1" ht="12.75">
      <c r="B45" s="63" t="s">
        <v>106</v>
      </c>
      <c r="G45" s="17">
        <v>85.8</v>
      </c>
      <c r="I45" s="17">
        <v>71.4</v>
      </c>
      <c r="K45" s="17">
        <v>57.3</v>
      </c>
      <c r="L45" s="17"/>
      <c r="M45" s="17">
        <v>79.6</v>
      </c>
      <c r="O45" s="17">
        <v>96.9</v>
      </c>
      <c r="Q45" s="17">
        <v>110.1</v>
      </c>
      <c r="R45" s="17"/>
      <c r="S45" s="88">
        <f>S46*S43</f>
        <v>121.54635854670853</v>
      </c>
      <c r="U45" s="88">
        <f>U46*U43</f>
        <v>134.26600078189816</v>
      </c>
      <c r="X45" s="105"/>
    </row>
    <row r="46" spans="3:24" s="56" customFormat="1" ht="12.75" customHeight="1" thickBot="1">
      <c r="C46" s="56" t="s">
        <v>107</v>
      </c>
      <c r="G46" s="62">
        <f>G45/G43</f>
        <v>0.19806094182825484</v>
      </c>
      <c r="I46" s="62">
        <f>I45/I43</f>
        <v>0.1477037649979313</v>
      </c>
      <c r="K46" s="62">
        <f>K45/K43</f>
        <v>0.10544718439455283</v>
      </c>
      <c r="L46" s="62"/>
      <c r="M46" s="62">
        <f>M45/M43</f>
        <v>0.13357945964087936</v>
      </c>
      <c r="N46" s="3"/>
      <c r="O46" s="62">
        <f>O45/O43</f>
        <v>0.13768115942028988</v>
      </c>
      <c r="P46" s="3"/>
      <c r="Q46" s="62">
        <f>Q45/Q43</f>
        <v>0.13769384692346176</v>
      </c>
      <c r="R46" s="62"/>
      <c r="S46" s="62">
        <f>Q46</f>
        <v>0.13769384692346176</v>
      </c>
      <c r="T46" s="3"/>
      <c r="U46" s="62">
        <f>S46</f>
        <v>0.13769384692346176</v>
      </c>
      <c r="X46" s="63"/>
    </row>
    <row r="47" spans="7:24" ht="4.5" customHeight="1">
      <c r="G47" s="65"/>
      <c r="I47" s="65"/>
      <c r="K47" s="65"/>
      <c r="L47" s="95"/>
      <c r="M47" s="65"/>
      <c r="O47" s="65"/>
      <c r="Q47" s="65"/>
      <c r="R47" s="95"/>
      <c r="S47" s="65"/>
      <c r="U47" s="65"/>
      <c r="X47" s="3"/>
    </row>
    <row r="48" spans="2:24" s="19" customFormat="1" ht="12.75">
      <c r="B48" s="19" t="s">
        <v>108</v>
      </c>
      <c r="G48" s="84">
        <f>G43-G45</f>
        <v>347.4</v>
      </c>
      <c r="H48" s="84"/>
      <c r="I48" s="84">
        <f>I43-I45</f>
        <v>412</v>
      </c>
      <c r="K48" s="84">
        <f>K43-K45</f>
        <v>486.09999999999985</v>
      </c>
      <c r="L48" s="84"/>
      <c r="M48" s="84">
        <f>M43-M45</f>
        <v>516.2999999999998</v>
      </c>
      <c r="O48" s="84">
        <f>O43-O45</f>
        <v>606.9</v>
      </c>
      <c r="Q48" s="84">
        <f>Q43-Q45</f>
        <v>689.4999999999998</v>
      </c>
      <c r="R48" s="84"/>
      <c r="S48" s="84">
        <f>S43-S45</f>
        <v>761.1826904446458</v>
      </c>
      <c r="U48" s="84">
        <f>U43-U45</f>
        <v>840.8393055324137</v>
      </c>
      <c r="X48" s="62">
        <f>(U48/M48)^(1/(U$5-$M$5))-1</f>
        <v>0.12967292462389657</v>
      </c>
    </row>
    <row r="49" spans="3:21" s="56" customFormat="1" ht="12.75" customHeight="1">
      <c r="C49" s="56" t="s">
        <v>92</v>
      </c>
      <c r="G49" s="64">
        <f>G48/G$7</f>
        <v>0.17041106641813009</v>
      </c>
      <c r="I49" s="64">
        <f>I48/I$7</f>
        <v>0.16612233377686383</v>
      </c>
      <c r="K49" s="64">
        <f>K48/K$7</f>
        <v>0.17139129821592267</v>
      </c>
      <c r="L49" s="64"/>
      <c r="M49" s="64">
        <f>M48/M$7</f>
        <v>0.16548076923076918</v>
      </c>
      <c r="N49" s="3"/>
      <c r="O49" s="64">
        <f>O48/O$7</f>
        <v>0.17489913544668587</v>
      </c>
      <c r="P49" s="3"/>
      <c r="Q49" s="64">
        <f>Q48/Q$7</f>
        <v>0.17881224066390036</v>
      </c>
      <c r="R49" s="64"/>
      <c r="S49" s="64">
        <f>S48/S$7</f>
        <v>0.17764145760896696</v>
      </c>
      <c r="T49" s="3"/>
      <c r="U49" s="64">
        <f>U48/U$7</f>
        <v>0.17658787431005127</v>
      </c>
    </row>
    <row r="50" ht="4.5" customHeight="1">
      <c r="X50" s="3"/>
    </row>
    <row r="51" spans="1:24" s="19" customFormat="1" ht="12.75">
      <c r="A51" s="85"/>
      <c r="B51" s="85" t="s">
        <v>109</v>
      </c>
      <c r="C51" s="85"/>
      <c r="D51" s="85"/>
      <c r="E51" s="85"/>
      <c r="F51" s="85"/>
      <c r="G51" s="86">
        <f>G48/G53</f>
        <v>1.6342774884626783</v>
      </c>
      <c r="H51" s="85"/>
      <c r="I51" s="86">
        <f>I48/I53</f>
        <v>1.8852901607987773</v>
      </c>
      <c r="J51" s="85"/>
      <c r="K51" s="86">
        <f>K48/K53</f>
        <v>2.177321102232414</v>
      </c>
      <c r="L51" s="86"/>
      <c r="M51" s="86">
        <f>M48/M53</f>
        <v>2.3351530309951642</v>
      </c>
      <c r="N51" s="85"/>
      <c r="O51" s="86">
        <f>O48/O53</f>
        <v>2.705920119846981</v>
      </c>
      <c r="P51" s="85"/>
      <c r="Q51" s="86">
        <f>Q48/Q53</f>
        <v>3.0203341422601464</v>
      </c>
      <c r="R51" s="86"/>
      <c r="S51" s="86">
        <f>S48/S53</f>
        <v>3.276920220954538</v>
      </c>
      <c r="T51" s="85"/>
      <c r="U51" s="86">
        <f>U48/U53</f>
        <v>3.5585659139027017</v>
      </c>
      <c r="V51" s="87"/>
      <c r="X51" s="62">
        <f>(U51/M51)^(1/(U$5-$M$5))-1</f>
        <v>0.11106615119503571</v>
      </c>
    </row>
    <row r="52" ht="4.5" customHeight="1"/>
    <row r="53" spans="2:21" ht="12.75">
      <c r="B53" t="s">
        <v>110</v>
      </c>
      <c r="G53" s="12">
        <v>212.571</v>
      </c>
      <c r="H53" s="13"/>
      <c r="I53" s="12">
        <v>218.534</v>
      </c>
      <c r="J53" s="13"/>
      <c r="K53" s="12">
        <v>223.256</v>
      </c>
      <c r="L53" s="12"/>
      <c r="M53" s="12">
        <v>221.099</v>
      </c>
      <c r="O53" s="12">
        <v>224.286</v>
      </c>
      <c r="Q53" s="12">
        <v>228.286</v>
      </c>
      <c r="R53" s="12"/>
      <c r="S53" s="12">
        <v>232.286</v>
      </c>
      <c r="U53" s="12">
        <v>236.286</v>
      </c>
    </row>
    <row r="55" ht="12.75">
      <c r="B55" s="19" t="s">
        <v>111</v>
      </c>
    </row>
    <row r="56" spans="3:21" ht="12.75">
      <c r="C56" t="s">
        <v>96</v>
      </c>
      <c r="G56" s="16">
        <f>G24*(1-G46)</f>
        <v>12.349861495844875</v>
      </c>
      <c r="I56" s="16">
        <f>I24*(1-I46)</f>
        <v>32.04633843607778</v>
      </c>
      <c r="K56" s="16">
        <f>K24*(1-K46)</f>
        <v>67.09146117040854</v>
      </c>
      <c r="L56" s="16"/>
      <c r="M56" s="16">
        <f>M24*(1-M46)</f>
        <v>53.54478939419365</v>
      </c>
      <c r="O56" s="16">
        <f>O24*(1-O46)</f>
        <v>53.463768115942024</v>
      </c>
      <c r="Q56" s="16">
        <f>Q24*(1-Q46)</f>
        <v>53.46298149074537</v>
      </c>
      <c r="R56" s="16"/>
      <c r="S56" s="16">
        <f>S24*(1-S46)</f>
        <v>53.46298149074537</v>
      </c>
      <c r="U56" s="16">
        <f>U24*(1-U46)</f>
        <v>53.46298149074537</v>
      </c>
    </row>
    <row r="57" spans="3:21" ht="12.75">
      <c r="C57" t="s">
        <v>98</v>
      </c>
      <c r="G57" s="88">
        <f>G29*(1-G46)</f>
        <v>35.68628808864266</v>
      </c>
      <c r="I57" s="88">
        <f>I29*(1-I46)</f>
        <v>39.37608605709557</v>
      </c>
      <c r="K57" s="88">
        <f>K29*(1-K46)</f>
        <v>47.94803091645197</v>
      </c>
      <c r="L57" s="88"/>
      <c r="M57" s="88">
        <f>M29*(1-M46)</f>
        <v>47.219919449572075</v>
      </c>
      <c r="O57" s="88">
        <f>O29*(1-O46)</f>
        <v>46.30652173913043</v>
      </c>
      <c r="Q57" s="88">
        <f>Q29*(1-Q46)</f>
        <v>51.39344672336168</v>
      </c>
      <c r="R57" s="88"/>
      <c r="S57" s="88">
        <f>S29*(1-S46)</f>
        <v>57.11041226665206</v>
      </c>
      <c r="U57" s="88">
        <f>U29*(1-U46)</f>
        <v>63.46332844386465</v>
      </c>
    </row>
    <row r="58" spans="3:21" ht="13.5" customHeight="1" thickBot="1">
      <c r="C58" t="s">
        <v>112</v>
      </c>
      <c r="G58" s="17">
        <f>12.59*(1-G46)</f>
        <v>10.096412742382272</v>
      </c>
      <c r="I58" s="17">
        <v>21.9</v>
      </c>
      <c r="K58" s="17">
        <v>6.1</v>
      </c>
      <c r="L58" s="17"/>
      <c r="M58" s="83">
        <v>0</v>
      </c>
      <c r="N58" s="98"/>
      <c r="O58" s="83">
        <v>0</v>
      </c>
      <c r="P58" s="98"/>
      <c r="Q58" s="83">
        <v>0</v>
      </c>
      <c r="R58" s="83"/>
      <c r="S58" s="103">
        <f>Q58</f>
        <v>0</v>
      </c>
      <c r="T58" s="98"/>
      <c r="U58" s="103">
        <f>S58</f>
        <v>0</v>
      </c>
    </row>
    <row r="59" spans="7:21" ht="4.5" customHeight="1">
      <c r="G59" s="65"/>
      <c r="I59" s="65"/>
      <c r="K59" s="65"/>
      <c r="L59" s="95"/>
      <c r="M59" s="65"/>
      <c r="O59" s="65"/>
      <c r="Q59" s="65"/>
      <c r="R59" s="95"/>
      <c r="S59" s="106"/>
      <c r="U59" s="106"/>
    </row>
    <row r="60" spans="2:24" s="19" customFormat="1" ht="12.75">
      <c r="B60" s="19" t="s">
        <v>113</v>
      </c>
      <c r="G60" s="84">
        <f>G48-SUM(G56:G58)</f>
        <v>289.2674376731302</v>
      </c>
      <c r="I60" s="84">
        <f>I48-SUM(I56:I58)</f>
        <v>318.67757550682666</v>
      </c>
      <c r="K60" s="84">
        <f>K48-SUM(K56:K58)</f>
        <v>364.96050791313934</v>
      </c>
      <c r="L60" s="84"/>
      <c r="M60" s="84">
        <f>M48-SUM(M56:M58)</f>
        <v>415.5352911562341</v>
      </c>
      <c r="O60" s="84">
        <f>O48-SUM(O56:O58)</f>
        <v>507.1297101449275</v>
      </c>
      <c r="Q60" s="84">
        <f>Q48-SUM(Q56:Q58)</f>
        <v>584.6435717858927</v>
      </c>
      <c r="R60" s="84"/>
      <c r="S60" s="84">
        <f>S48-SUM(S56:S58)</f>
        <v>650.6092966872484</v>
      </c>
      <c r="U60" s="84">
        <f>U48-SUM(U56:U58)</f>
        <v>723.9129955978037</v>
      </c>
      <c r="X60" s="62">
        <f>(U60/M60)^(1/(U$5-$M$5))-1</f>
        <v>0.14886662911691295</v>
      </c>
    </row>
    <row r="61" spans="3:21" s="56" customFormat="1" ht="12.75" customHeight="1">
      <c r="C61" s="56" t="s">
        <v>92</v>
      </c>
      <c r="G61" s="64">
        <f>G60/G$7</f>
        <v>0.14189514258468075</v>
      </c>
      <c r="I61" s="64">
        <f>I60/I$7</f>
        <v>0.12849384117851162</v>
      </c>
      <c r="K61" s="64">
        <f>K60/K$7</f>
        <v>0.12867939775514398</v>
      </c>
      <c r="L61" s="64"/>
      <c r="M61" s="64">
        <f>M60/M$7</f>
        <v>0.13318438819110068</v>
      </c>
      <c r="N61" s="3"/>
      <c r="O61" s="64">
        <f>O60/O$7</f>
        <v>0.1461468905316794</v>
      </c>
      <c r="P61" s="3"/>
      <c r="Q61" s="64">
        <f>Q60/Q$7</f>
        <v>0.15161918355443277</v>
      </c>
      <c r="R61" s="64"/>
      <c r="S61" s="64">
        <f>S60/S$7</f>
        <v>0.15183632687437265</v>
      </c>
      <c r="T61" s="3"/>
      <c r="U61" s="64">
        <f>U60/U$7</f>
        <v>0.15203173333707784</v>
      </c>
    </row>
    <row r="62" ht="4.5" customHeight="1">
      <c r="X62" s="3"/>
    </row>
    <row r="63" spans="1:24" ht="12.75">
      <c r="A63" s="85"/>
      <c r="B63" s="85" t="s">
        <v>114</v>
      </c>
      <c r="C63" s="85"/>
      <c r="D63" s="85"/>
      <c r="E63" s="85"/>
      <c r="F63" s="85"/>
      <c r="G63" s="86">
        <f>G60/G53</f>
        <v>1.3608038616421345</v>
      </c>
      <c r="H63" s="85"/>
      <c r="I63" s="86">
        <f>I60/I53</f>
        <v>1.4582516931316256</v>
      </c>
      <c r="J63" s="85"/>
      <c r="K63" s="86">
        <f>K60/K53</f>
        <v>1.6347175794296205</v>
      </c>
      <c r="L63" s="86"/>
      <c r="M63" s="86">
        <f>M60/M53</f>
        <v>1.8794082793510334</v>
      </c>
      <c r="N63" s="85"/>
      <c r="O63" s="86">
        <f>O60/O53</f>
        <v>2.2610849992640087</v>
      </c>
      <c r="P63" s="85"/>
      <c r="Q63" s="86">
        <f>Q60/Q53</f>
        <v>2.56101369241168</v>
      </c>
      <c r="R63" s="86"/>
      <c r="S63" s="86">
        <f>S60/S53</f>
        <v>2.8008975861104344</v>
      </c>
      <c r="T63" s="85"/>
      <c r="U63" s="86">
        <f>U60/U53</f>
        <v>3.0637151401175005</v>
      </c>
      <c r="V63" s="87"/>
      <c r="X63" s="62">
        <f>(U63/M63)^(1/(U$5-$M$5))-1</f>
        <v>0.12994371735900367</v>
      </c>
    </row>
    <row r="65" spans="2:21" s="89" customFormat="1" ht="12.75">
      <c r="B65" s="89" t="s">
        <v>115</v>
      </c>
      <c r="G65" s="23">
        <v>71.4</v>
      </c>
      <c r="I65" s="23">
        <v>80.7</v>
      </c>
      <c r="K65" s="23">
        <v>166.4</v>
      </c>
      <c r="L65" s="23"/>
      <c r="M65" s="23">
        <v>183.1</v>
      </c>
      <c r="O65" s="23">
        <v>203.6</v>
      </c>
      <c r="Q65" s="23">
        <v>226.3</v>
      </c>
      <c r="R65" s="23"/>
      <c r="S65" s="16">
        <f>S66*S7</f>
        <v>192.82222478386166</v>
      </c>
      <c r="U65" s="16">
        <f>U66*U7</f>
        <v>190.46365642435364</v>
      </c>
    </row>
    <row r="66" spans="1:22" s="56" customFormat="1" ht="12.75" customHeight="1">
      <c r="A66" s="72"/>
      <c r="B66" s="72"/>
      <c r="C66" s="72" t="s">
        <v>90</v>
      </c>
      <c r="D66" s="72"/>
      <c r="E66" s="72"/>
      <c r="F66" s="72"/>
      <c r="G66" s="73">
        <f>G65/G$7</f>
        <v>0.03502403610320809</v>
      </c>
      <c r="H66" s="72"/>
      <c r="I66" s="73">
        <f>I65/I$7</f>
        <v>0.0325390105237692</v>
      </c>
      <c r="J66" s="72"/>
      <c r="K66" s="73">
        <f>K65/K$7</f>
        <v>0.05867005147732882</v>
      </c>
      <c r="L66" s="73"/>
      <c r="M66" s="73">
        <f>M65/M$7</f>
        <v>0.05868589743589744</v>
      </c>
      <c r="N66" s="96"/>
      <c r="O66" s="73">
        <f>O65/O$7</f>
        <v>0.058674351585014405</v>
      </c>
      <c r="P66" s="96"/>
      <c r="Q66" s="73">
        <f>Q65/Q$7</f>
        <v>0.058687759336099585</v>
      </c>
      <c r="R66" s="73"/>
      <c r="S66" s="107">
        <v>0.045</v>
      </c>
      <c r="T66" s="72"/>
      <c r="U66" s="107">
        <v>0.04</v>
      </c>
      <c r="V66" s="72"/>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X66"/>
  <sheetViews>
    <sheetView showGridLines="0" zoomScale="90" zoomScaleNormal="90" workbookViewId="0" topLeftCell="A1">
      <selection activeCell="A1" sqref="A1"/>
    </sheetView>
  </sheetViews>
  <sheetFormatPr defaultColWidth="9.140625" defaultRowHeight="12.75"/>
  <cols>
    <col min="1" max="1" width="0.85546875" style="0" customWidth="1"/>
    <col min="2" max="3" width="1.7109375" style="0" customWidth="1"/>
    <col min="4"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tgt&amp;" Income Statement"</f>
        <v>TargetCo Income Statement</v>
      </c>
      <c r="B1" s="55"/>
      <c r="C1" s="2"/>
      <c r="D1" s="2"/>
      <c r="E1" s="2"/>
      <c r="F1" s="2"/>
      <c r="G1" s="2"/>
      <c r="H1" s="2"/>
      <c r="I1" s="2"/>
      <c r="J1" s="2"/>
      <c r="K1" s="2"/>
      <c r="L1" s="2"/>
      <c r="M1" s="2"/>
      <c r="N1" s="2"/>
      <c r="O1" s="2"/>
      <c r="P1" s="2"/>
      <c r="Q1" s="2"/>
      <c r="R1" s="2"/>
      <c r="S1" s="2"/>
      <c r="T1" s="2"/>
      <c r="U1" s="2"/>
      <c r="V1" s="2"/>
      <c r="W1" s="2"/>
      <c r="X1" s="2"/>
    </row>
    <row r="2" spans="1:2" ht="12.75">
      <c r="A2" s="108" t="s">
        <v>1</v>
      </c>
      <c r="B2" s="56"/>
    </row>
    <row r="4" spans="7:24" ht="13.5" customHeight="1" thickBot="1">
      <c r="G4" s="7" t="str">
        <f>year&amp;" Ended "&amp;IF(year="FY",TEXT(acq_fye,"mmmm d"),"December 31")&amp;","</f>
        <v>FY Ended September 30,</v>
      </c>
      <c r="H4" s="7"/>
      <c r="I4" s="7"/>
      <c r="J4" s="7"/>
      <c r="K4" s="7"/>
      <c r="M4" s="7" t="str">
        <f>year&amp;" Ending "&amp;IF(year="FY",TEXT(acq_fye,"mmmm d"),"December 31")&amp;","</f>
        <v>FY Ending September 30,</v>
      </c>
      <c r="N4" s="32"/>
      <c r="O4" s="32"/>
      <c r="P4" s="32"/>
      <c r="Q4" s="32"/>
      <c r="R4" s="32"/>
      <c r="S4" s="32"/>
      <c r="T4" s="32"/>
      <c r="U4" s="32"/>
      <c r="X4" s="99" t="s">
        <v>116</v>
      </c>
    </row>
    <row r="5" spans="7:24" ht="13.5" customHeight="1" thickBot="1">
      <c r="G5" s="109">
        <f>I5-1</f>
        <v>2005</v>
      </c>
      <c r="H5" s="110"/>
      <c r="I5" s="109">
        <f>K5-1</f>
        <v>2006</v>
      </c>
      <c r="K5" s="111">
        <f>'Buyer P&amp;L'!K5</f>
        <v>2007</v>
      </c>
      <c r="M5" s="94">
        <f>K5+1</f>
        <v>2008</v>
      </c>
      <c r="O5" s="94">
        <f>M5+1</f>
        <v>2009</v>
      </c>
      <c r="Q5" s="94">
        <f>O5+1</f>
        <v>2010</v>
      </c>
      <c r="R5" s="100"/>
      <c r="S5" s="101">
        <f>Q5+1</f>
        <v>2011</v>
      </c>
      <c r="U5" s="101">
        <f>S5+1</f>
        <v>2012</v>
      </c>
      <c r="X5" s="102" t="str">
        <f>M5&amp;"-"&amp;U5</f>
        <v>2008-2012</v>
      </c>
    </row>
    <row r="6" ht="4.5" customHeight="1"/>
    <row r="7" spans="2:24" s="59" customFormat="1" ht="12.75">
      <c r="B7" s="59" t="s">
        <v>87</v>
      </c>
      <c r="G7" s="60">
        <v>370.8</v>
      </c>
      <c r="I7" s="60">
        <v>380.8</v>
      </c>
      <c r="K7" s="60">
        <v>402.5</v>
      </c>
      <c r="M7" s="60">
        <v>458.1</v>
      </c>
      <c r="O7" s="60">
        <v>468</v>
      </c>
      <c r="Q7" s="60">
        <v>470.5</v>
      </c>
      <c r="S7" s="84">
        <f>Q7*(1+S8)</f>
        <v>475.205</v>
      </c>
      <c r="U7" s="84">
        <f>S7*(1+U8)</f>
        <v>479.95705</v>
      </c>
      <c r="X7" s="62">
        <f>(U7/M7)^(1/(U$5-$M$5))-1</f>
        <v>0.011720432226423716</v>
      </c>
    </row>
    <row r="8" spans="3:24" s="56" customFormat="1" ht="12.75" customHeight="1">
      <c r="C8" s="56" t="s">
        <v>88</v>
      </c>
      <c r="G8" s="61" t="s">
        <v>25</v>
      </c>
      <c r="I8" s="62">
        <f>I7/G7-1</f>
        <v>0.026968716289104577</v>
      </c>
      <c r="K8" s="62">
        <f>K7/I7-1</f>
        <v>0.05698529411764697</v>
      </c>
      <c r="M8" s="62">
        <f>M7/K7-1</f>
        <v>0.1381366459627329</v>
      </c>
      <c r="O8" s="62">
        <f>O7/M7-1</f>
        <v>0.0216110019646365</v>
      </c>
      <c r="Q8" s="62">
        <f>Q7/O7-1</f>
        <v>0.005341880341880323</v>
      </c>
      <c r="S8" s="43">
        <v>0.01</v>
      </c>
      <c r="U8" s="62">
        <f>S8</f>
        <v>0.01</v>
      </c>
      <c r="X8" s="3"/>
    </row>
    <row r="9" ht="4.5" customHeight="1"/>
    <row r="10" spans="2:21" s="63" customFormat="1" ht="12.75">
      <c r="B10" s="63" t="s">
        <v>89</v>
      </c>
      <c r="G10" s="17">
        <v>182.5</v>
      </c>
      <c r="I10" s="17">
        <v>188.6</v>
      </c>
      <c r="K10" s="17">
        <v>207.7</v>
      </c>
      <c r="M10" s="17">
        <v>239.6</v>
      </c>
      <c r="O10" s="17">
        <v>249.8</v>
      </c>
      <c r="Q10" s="17">
        <v>252.2</v>
      </c>
      <c r="S10" s="88">
        <f>S11*S7</f>
        <v>254.72199999999998</v>
      </c>
      <c r="U10" s="88">
        <f>U11*U7</f>
        <v>257.26921999999996</v>
      </c>
    </row>
    <row r="11" spans="3:24" s="56" customFormat="1" ht="12.75" customHeight="1" thickBot="1">
      <c r="C11" s="56" t="s">
        <v>90</v>
      </c>
      <c r="G11" s="64">
        <f>G10/G7</f>
        <v>0.49217907227615965</v>
      </c>
      <c r="I11" s="64">
        <f>I10/I7</f>
        <v>0.49527310924369744</v>
      </c>
      <c r="K11" s="64">
        <f>K10/K7</f>
        <v>0.5160248447204968</v>
      </c>
      <c r="M11" s="64">
        <f>M10/M7</f>
        <v>0.5230299061340319</v>
      </c>
      <c r="O11" s="64">
        <f>O10/O7</f>
        <v>0.5337606837606838</v>
      </c>
      <c r="Q11" s="64">
        <f>Q10/Q7</f>
        <v>0.5360255047821466</v>
      </c>
      <c r="S11" s="112">
        <f>Q11</f>
        <v>0.5360255047821466</v>
      </c>
      <c r="U11" s="64">
        <f>S11</f>
        <v>0.5360255047821466</v>
      </c>
      <c r="X11" s="3"/>
    </row>
    <row r="12" spans="2:24" ht="12.75">
      <c r="B12" t="s">
        <v>91</v>
      </c>
      <c r="G12" s="65">
        <f>G7-G10</f>
        <v>188.3</v>
      </c>
      <c r="I12" s="65">
        <f>I7-I10</f>
        <v>192.20000000000002</v>
      </c>
      <c r="K12" s="65">
        <f>K7-K10</f>
        <v>194.8</v>
      </c>
      <c r="M12" s="65">
        <f>M7-M10</f>
        <v>218.50000000000003</v>
      </c>
      <c r="O12" s="65">
        <f>O7-O10</f>
        <v>218.2</v>
      </c>
      <c r="Q12" s="65">
        <f>Q7-Q10</f>
        <v>218.3</v>
      </c>
      <c r="S12" s="65">
        <f>S7-S10</f>
        <v>220.483</v>
      </c>
      <c r="U12" s="65">
        <f>U7-U10</f>
        <v>222.68783000000002</v>
      </c>
      <c r="X12" s="62">
        <f>(U12/M12)^(1/(U$5-$M$5))-1</f>
        <v>0.004757508860870674</v>
      </c>
    </row>
    <row r="13" spans="3:24" s="56" customFormat="1" ht="12.75" customHeight="1">
      <c r="C13" s="56" t="s">
        <v>92</v>
      </c>
      <c r="G13" s="64">
        <f>G12/G$7</f>
        <v>0.5078209277238404</v>
      </c>
      <c r="I13" s="64">
        <f>I12/I$7</f>
        <v>0.5047268907563025</v>
      </c>
      <c r="K13" s="64">
        <f>K12/K$7</f>
        <v>0.48397515527950313</v>
      </c>
      <c r="M13" s="64">
        <f>M12/M$7</f>
        <v>0.47697009386596817</v>
      </c>
      <c r="O13" s="64">
        <f>O12/O$7</f>
        <v>0.4662393162393162</v>
      </c>
      <c r="Q13" s="64">
        <f>Q12/Q$7</f>
        <v>0.4639744952178534</v>
      </c>
      <c r="S13" s="64">
        <f>S12/S$7</f>
        <v>0.4639744952178534</v>
      </c>
      <c r="U13" s="64">
        <f>U12/U$7</f>
        <v>0.4639744952178534</v>
      </c>
      <c r="X13" s="3"/>
    </row>
    <row r="14" ht="4.5" customHeight="1"/>
    <row r="15" spans="2:21" s="63" customFormat="1" ht="12.75" customHeight="1">
      <c r="B15" s="63" t="s">
        <v>93</v>
      </c>
      <c r="G15" s="17">
        <v>46.6</v>
      </c>
      <c r="I15" s="66">
        <v>61.9</v>
      </c>
      <c r="K15" s="17">
        <v>74.8</v>
      </c>
      <c r="M15" s="17">
        <v>88.3</v>
      </c>
      <c r="O15" s="17">
        <v>91.7</v>
      </c>
      <c r="Q15" s="17">
        <v>92.4</v>
      </c>
      <c r="S15" s="88">
        <f>S16*S7</f>
        <v>93.324</v>
      </c>
      <c r="U15" s="88">
        <f>U16*U7</f>
        <v>94.25724</v>
      </c>
    </row>
    <row r="16" spans="3:24" s="56" customFormat="1" ht="12.75" customHeight="1">
      <c r="C16" s="56" t="s">
        <v>90</v>
      </c>
      <c r="G16" s="64">
        <f>G15/G$7</f>
        <v>0.1256742179072276</v>
      </c>
      <c r="I16" s="64">
        <f>I15/I$7</f>
        <v>0.16255252100840334</v>
      </c>
      <c r="K16" s="64">
        <f>K15/K$7</f>
        <v>0.18583850931677018</v>
      </c>
      <c r="M16" s="64">
        <f>M15/M$7</f>
        <v>0.19275267408862692</v>
      </c>
      <c r="O16" s="64">
        <f>O15/O$7</f>
        <v>0.19594017094017094</v>
      </c>
      <c r="Q16" s="64">
        <f>Q15/Q$7</f>
        <v>0.19638682252922424</v>
      </c>
      <c r="S16" s="112">
        <f>Q16</f>
        <v>0.19638682252922424</v>
      </c>
      <c r="U16" s="64">
        <f>S16</f>
        <v>0.19638682252922424</v>
      </c>
      <c r="X16" s="3"/>
    </row>
    <row r="17" ht="4.5" customHeight="1"/>
    <row r="18" spans="1:22" ht="4.5" customHeight="1">
      <c r="A18" s="67"/>
      <c r="B18" s="67"/>
      <c r="C18" s="67"/>
      <c r="D18" s="67"/>
      <c r="E18" s="67"/>
      <c r="F18" s="67"/>
      <c r="G18" s="67"/>
      <c r="H18" s="67"/>
      <c r="I18" s="67"/>
      <c r="J18" s="67"/>
      <c r="K18" s="67"/>
      <c r="L18" s="67"/>
      <c r="M18" s="67"/>
      <c r="N18" s="67"/>
      <c r="O18" s="67"/>
      <c r="P18" s="67"/>
      <c r="Q18" s="67"/>
      <c r="R18" s="67"/>
      <c r="S18" s="67"/>
      <c r="T18" s="67"/>
      <c r="U18" s="67"/>
      <c r="V18" s="68"/>
    </row>
    <row r="19" spans="1:24" s="19" customFormat="1" ht="12.75">
      <c r="A19" s="69"/>
      <c r="B19" s="69" t="s">
        <v>94</v>
      </c>
      <c r="C19" s="69"/>
      <c r="D19" s="69"/>
      <c r="E19" s="69"/>
      <c r="F19" s="69"/>
      <c r="G19" s="70">
        <f>G12-G15</f>
        <v>141.70000000000002</v>
      </c>
      <c r="H19" s="69"/>
      <c r="I19" s="70">
        <f>I12-I15</f>
        <v>130.3</v>
      </c>
      <c r="J19" s="69"/>
      <c r="K19" s="70">
        <f>K12-K15</f>
        <v>120.00000000000001</v>
      </c>
      <c r="L19" s="69"/>
      <c r="M19" s="70">
        <f>M12-M15</f>
        <v>130.20000000000005</v>
      </c>
      <c r="N19" s="69"/>
      <c r="O19" s="70">
        <f>O12-O15</f>
        <v>126.49999999999999</v>
      </c>
      <c r="P19" s="69"/>
      <c r="Q19" s="70">
        <f>Q12-Q15</f>
        <v>125.9</v>
      </c>
      <c r="R19" s="69"/>
      <c r="S19" s="70">
        <f>S12-S15</f>
        <v>127.159</v>
      </c>
      <c r="T19" s="69"/>
      <c r="U19" s="70">
        <f>U12-U15</f>
        <v>128.43059000000002</v>
      </c>
      <c r="V19" s="71"/>
      <c r="X19" s="62">
        <f>(U19/M19)^(1/(U$5-$M$5))-1</f>
        <v>-0.003414937546371344</v>
      </c>
    </row>
    <row r="20" spans="1:24" s="56" customFormat="1" ht="12.75" customHeight="1">
      <c r="A20" s="72"/>
      <c r="B20" s="72"/>
      <c r="C20" s="72" t="s">
        <v>92</v>
      </c>
      <c r="D20" s="72"/>
      <c r="E20" s="72"/>
      <c r="F20" s="72"/>
      <c r="G20" s="73">
        <f>G19/G$7</f>
        <v>0.38214670981661275</v>
      </c>
      <c r="H20" s="72"/>
      <c r="I20" s="73">
        <f>I19/I$7</f>
        <v>0.34217436974789917</v>
      </c>
      <c r="J20" s="72"/>
      <c r="K20" s="73">
        <f>K19/K$7</f>
        <v>0.2981366459627329</v>
      </c>
      <c r="L20" s="72"/>
      <c r="M20" s="73">
        <f>M19/M$7</f>
        <v>0.2842174197773413</v>
      </c>
      <c r="N20" s="72"/>
      <c r="O20" s="73">
        <f>O19/O$7</f>
        <v>0.2702991452991453</v>
      </c>
      <c r="P20" s="72"/>
      <c r="Q20" s="73">
        <f>Q19/Q$7</f>
        <v>0.26758767268862915</v>
      </c>
      <c r="R20" s="72"/>
      <c r="S20" s="73">
        <f>S19/S$7</f>
        <v>0.26758767268862915</v>
      </c>
      <c r="T20" s="72"/>
      <c r="U20" s="73">
        <f>U19/U$7</f>
        <v>0.26758767268862915</v>
      </c>
      <c r="V20" s="74"/>
      <c r="X20" s="3"/>
    </row>
    <row r="21" spans="1:22" ht="4.5" customHeight="1">
      <c r="A21" s="75"/>
      <c r="B21" s="75"/>
      <c r="C21" s="75"/>
      <c r="D21" s="75"/>
      <c r="E21" s="75"/>
      <c r="F21" s="75"/>
      <c r="G21" s="75"/>
      <c r="H21" s="75"/>
      <c r="I21" s="75"/>
      <c r="J21" s="75"/>
      <c r="K21" s="75"/>
      <c r="L21" s="75"/>
      <c r="M21" s="75"/>
      <c r="N21" s="75"/>
      <c r="O21" s="75"/>
      <c r="P21" s="75"/>
      <c r="Q21" s="75"/>
      <c r="R21" s="75"/>
      <c r="S21" s="75"/>
      <c r="T21" s="75"/>
      <c r="U21" s="75"/>
      <c r="V21" s="76"/>
    </row>
    <row r="22" spans="1:22" s="63" customFormat="1" ht="12.75" customHeight="1">
      <c r="A22" s="77"/>
      <c r="B22" s="77" t="s">
        <v>95</v>
      </c>
      <c r="C22" s="77"/>
      <c r="D22" s="77"/>
      <c r="E22" s="77"/>
      <c r="F22" s="77"/>
      <c r="G22" s="66">
        <v>14</v>
      </c>
      <c r="H22" s="77"/>
      <c r="I22" s="78">
        <v>11.1</v>
      </c>
      <c r="J22" s="77"/>
      <c r="K22" s="78">
        <v>12.1</v>
      </c>
      <c r="L22" s="77"/>
      <c r="M22" s="78">
        <v>14.1</v>
      </c>
      <c r="N22" s="77"/>
      <c r="O22" s="78">
        <v>14.1</v>
      </c>
      <c r="P22" s="77"/>
      <c r="Q22" s="78">
        <v>14.1</v>
      </c>
      <c r="R22" s="77"/>
      <c r="S22" s="97">
        <f>S23*S7</f>
        <v>14.241</v>
      </c>
      <c r="T22" s="77"/>
      <c r="U22" s="97">
        <f>U23*U7</f>
        <v>14.38341</v>
      </c>
      <c r="V22" s="79"/>
    </row>
    <row r="23" spans="1:24" s="56" customFormat="1" ht="12.75" customHeight="1">
      <c r="A23" s="72"/>
      <c r="B23" s="72"/>
      <c r="C23" s="72" t="s">
        <v>90</v>
      </c>
      <c r="D23" s="72"/>
      <c r="E23" s="72"/>
      <c r="F23" s="72"/>
      <c r="G23" s="73">
        <f>G22/G$7</f>
        <v>0.037756202804746494</v>
      </c>
      <c r="H23" s="72"/>
      <c r="I23" s="73">
        <f>I22/I$7</f>
        <v>0.029149159663865543</v>
      </c>
      <c r="J23" s="72"/>
      <c r="K23" s="73">
        <f>K22/K$7</f>
        <v>0.030062111801242235</v>
      </c>
      <c r="L23" s="72"/>
      <c r="M23" s="73">
        <f>M22/M$7</f>
        <v>0.03077930582842174</v>
      </c>
      <c r="N23" s="72"/>
      <c r="O23" s="73">
        <f>O22/O$7</f>
        <v>0.03012820512820513</v>
      </c>
      <c r="P23" s="72"/>
      <c r="Q23" s="73">
        <f>Q22/Q$7</f>
        <v>0.029968119022316685</v>
      </c>
      <c r="R23" s="72"/>
      <c r="S23" s="107">
        <f>Q23</f>
        <v>0.029968119022316685</v>
      </c>
      <c r="T23" s="72"/>
      <c r="U23" s="73">
        <f>S23</f>
        <v>0.029968119022316685</v>
      </c>
      <c r="V23" s="74"/>
      <c r="X23" s="3"/>
    </row>
    <row r="24" spans="1:22" s="63" customFormat="1" ht="12.75" customHeight="1">
      <c r="A24" s="77"/>
      <c r="B24" s="77" t="s">
        <v>96</v>
      </c>
      <c r="C24" s="77"/>
      <c r="D24" s="77"/>
      <c r="E24" s="77"/>
      <c r="F24" s="77"/>
      <c r="G24" s="66">
        <v>25.7</v>
      </c>
      <c r="H24" s="77"/>
      <c r="I24" s="78">
        <v>18.2</v>
      </c>
      <c r="J24" s="77"/>
      <c r="K24" s="78">
        <v>18.6</v>
      </c>
      <c r="L24" s="77"/>
      <c r="M24" s="78">
        <v>19.6</v>
      </c>
      <c r="N24" s="77"/>
      <c r="O24" s="78">
        <v>19.9</v>
      </c>
      <c r="P24" s="77"/>
      <c r="Q24" s="78">
        <v>20</v>
      </c>
      <c r="R24" s="77"/>
      <c r="S24" s="97">
        <f>Q24</f>
        <v>20</v>
      </c>
      <c r="T24" s="77"/>
      <c r="U24" s="97">
        <f>S24</f>
        <v>20</v>
      </c>
      <c r="V24" s="79"/>
    </row>
    <row r="25" spans="1:24" s="56" customFormat="1" ht="12.75" customHeight="1" thickBot="1">
      <c r="A25" s="72"/>
      <c r="B25" s="72"/>
      <c r="C25" s="72" t="s">
        <v>90</v>
      </c>
      <c r="D25" s="72"/>
      <c r="E25" s="72"/>
      <c r="F25" s="72"/>
      <c r="G25" s="73">
        <f>G24/G$7</f>
        <v>0.06930960086299892</v>
      </c>
      <c r="H25" s="72"/>
      <c r="I25" s="73">
        <f>I24/I$7</f>
        <v>0.04779411764705882</v>
      </c>
      <c r="J25" s="72"/>
      <c r="K25" s="73">
        <f>K24/K$7</f>
        <v>0.04621118012422361</v>
      </c>
      <c r="L25" s="72"/>
      <c r="M25" s="73">
        <f>M24/M$7</f>
        <v>0.0427854180309976</v>
      </c>
      <c r="N25" s="72"/>
      <c r="O25" s="73">
        <f>O24/O$7</f>
        <v>0.042521367521367516</v>
      </c>
      <c r="P25" s="72"/>
      <c r="Q25" s="73">
        <f>Q24/Q$7</f>
        <v>0.04250797024442083</v>
      </c>
      <c r="R25" s="72"/>
      <c r="S25" s="73">
        <f>S24/S$7</f>
        <v>0.042087099251901815</v>
      </c>
      <c r="T25" s="72"/>
      <c r="U25" s="73">
        <f>U24/U$7</f>
        <v>0.041670395298912685</v>
      </c>
      <c r="V25" s="74"/>
      <c r="X25" s="3"/>
    </row>
    <row r="26" spans="1:22" ht="12.75">
      <c r="A26" s="75"/>
      <c r="B26" s="75" t="s">
        <v>97</v>
      </c>
      <c r="C26" s="75"/>
      <c r="D26" s="75"/>
      <c r="E26" s="75"/>
      <c r="F26" s="75"/>
      <c r="G26" s="90">
        <f>G24+G22</f>
        <v>39.7</v>
      </c>
      <c r="H26" s="116"/>
      <c r="I26" s="90">
        <f>I24+I22</f>
        <v>29.299999999999997</v>
      </c>
      <c r="J26" s="116"/>
      <c r="K26" s="90">
        <f>K24+K22</f>
        <v>30.700000000000003</v>
      </c>
      <c r="L26" s="116"/>
      <c r="M26" s="90">
        <f>M24+M22</f>
        <v>33.7</v>
      </c>
      <c r="N26" s="116"/>
      <c r="O26" s="90">
        <f>O24+O22</f>
        <v>34</v>
      </c>
      <c r="P26" s="116"/>
      <c r="Q26" s="90">
        <f>Q24+Q22</f>
        <v>34.1</v>
      </c>
      <c r="R26" s="116"/>
      <c r="S26" s="90">
        <f>S24+S22</f>
        <v>34.241</v>
      </c>
      <c r="T26" s="116"/>
      <c r="U26" s="90">
        <f>U24+U22</f>
        <v>34.38341</v>
      </c>
      <c r="V26" s="76"/>
    </row>
    <row r="27" spans="1:24" s="56" customFormat="1" ht="12.75" customHeight="1">
      <c r="A27" s="72"/>
      <c r="B27" s="72"/>
      <c r="C27" s="72" t="s">
        <v>90</v>
      </c>
      <c r="D27" s="72"/>
      <c r="E27" s="72"/>
      <c r="F27" s="72"/>
      <c r="G27" s="73">
        <f>G26/G$7</f>
        <v>0.10706580366774542</v>
      </c>
      <c r="H27" s="72"/>
      <c r="I27" s="73">
        <f>I26/I$7</f>
        <v>0.07694327731092436</v>
      </c>
      <c r="J27" s="72"/>
      <c r="K27" s="73">
        <f>K26/K$7</f>
        <v>0.07627329192546585</v>
      </c>
      <c r="L27" s="72"/>
      <c r="M27" s="73">
        <f>M26/M$7</f>
        <v>0.07356472385941934</v>
      </c>
      <c r="N27" s="72"/>
      <c r="O27" s="73">
        <f>O26/O$7</f>
        <v>0.07264957264957266</v>
      </c>
      <c r="P27" s="72"/>
      <c r="Q27" s="73">
        <f>Q26/Q$7</f>
        <v>0.07247608926673751</v>
      </c>
      <c r="R27" s="72"/>
      <c r="S27" s="73">
        <f>S26/S$7</f>
        <v>0.0720552182742185</v>
      </c>
      <c r="T27" s="72"/>
      <c r="U27" s="73">
        <f>U26/U$7</f>
        <v>0.07163851432122936</v>
      </c>
      <c r="V27" s="74"/>
      <c r="X27" s="3"/>
    </row>
    <row r="28" spans="1:22" ht="4.5" customHeight="1">
      <c r="A28" s="75"/>
      <c r="B28" s="75"/>
      <c r="C28" s="75"/>
      <c r="D28" s="75"/>
      <c r="E28" s="75"/>
      <c r="F28" s="75"/>
      <c r="G28" s="75"/>
      <c r="H28" s="75"/>
      <c r="I28" s="75"/>
      <c r="J28" s="75"/>
      <c r="K28" s="75"/>
      <c r="L28" s="75"/>
      <c r="M28" s="75"/>
      <c r="N28" s="75"/>
      <c r="O28" s="75"/>
      <c r="P28" s="75"/>
      <c r="Q28" s="75"/>
      <c r="R28" s="75"/>
      <c r="S28" s="75"/>
      <c r="T28" s="75"/>
      <c r="U28" s="75"/>
      <c r="V28" s="76"/>
    </row>
    <row r="29" spans="1:22" s="63" customFormat="1" ht="12.75">
      <c r="A29" s="77"/>
      <c r="B29" s="77" t="s">
        <v>98</v>
      </c>
      <c r="C29" s="77"/>
      <c r="D29" s="77"/>
      <c r="E29" s="77"/>
      <c r="F29" s="77"/>
      <c r="G29" s="78">
        <v>16.5</v>
      </c>
      <c r="H29" s="77"/>
      <c r="I29" s="78">
        <v>13.4</v>
      </c>
      <c r="J29" s="77"/>
      <c r="K29" s="78">
        <v>11.3</v>
      </c>
      <c r="L29" s="77"/>
      <c r="M29" s="78">
        <v>10.8</v>
      </c>
      <c r="N29" s="77"/>
      <c r="O29" s="78">
        <v>10.6</v>
      </c>
      <c r="P29" s="77"/>
      <c r="Q29" s="78">
        <v>10.7</v>
      </c>
      <c r="R29" s="77"/>
      <c r="S29" s="97">
        <f>S30*S7</f>
        <v>10.806999999999999</v>
      </c>
      <c r="T29" s="77"/>
      <c r="U29" s="97">
        <f>U30*U7</f>
        <v>10.915069999999998</v>
      </c>
      <c r="V29" s="79"/>
    </row>
    <row r="30" spans="1:24" s="56" customFormat="1" ht="12.75" customHeight="1">
      <c r="A30" s="72"/>
      <c r="B30" s="72"/>
      <c r="C30" s="72" t="s">
        <v>90</v>
      </c>
      <c r="D30" s="72"/>
      <c r="E30" s="72"/>
      <c r="F30" s="72"/>
      <c r="G30" s="73">
        <f>G29/G$7</f>
        <v>0.04449838187702265</v>
      </c>
      <c r="H30" s="72"/>
      <c r="I30" s="73">
        <f>I29/I$7</f>
        <v>0.0351890756302521</v>
      </c>
      <c r="J30" s="72"/>
      <c r="K30" s="73">
        <f>K29/K$7</f>
        <v>0.028074534161490684</v>
      </c>
      <c r="L30" s="72"/>
      <c r="M30" s="73">
        <f>M29/M$7</f>
        <v>0.023575638506876228</v>
      </c>
      <c r="N30" s="72"/>
      <c r="O30" s="73">
        <f>O29/O$7</f>
        <v>0.02264957264957265</v>
      </c>
      <c r="P30" s="72"/>
      <c r="Q30" s="73">
        <f>Q29/Q$7</f>
        <v>0.022741764080765142</v>
      </c>
      <c r="R30" s="72"/>
      <c r="S30" s="107">
        <f>Q30</f>
        <v>0.022741764080765142</v>
      </c>
      <c r="T30" s="72"/>
      <c r="U30" s="73">
        <f>S30</f>
        <v>0.022741764080765142</v>
      </c>
      <c r="V30" s="74"/>
      <c r="X30" s="3"/>
    </row>
    <row r="31" spans="1:22" ht="4.5" customHeight="1">
      <c r="A31" s="75"/>
      <c r="B31" s="75"/>
      <c r="C31" s="75"/>
      <c r="D31" s="75"/>
      <c r="E31" s="75"/>
      <c r="F31" s="75"/>
      <c r="G31" s="75"/>
      <c r="H31" s="75"/>
      <c r="I31" s="75"/>
      <c r="J31" s="75"/>
      <c r="K31" s="75"/>
      <c r="L31" s="75"/>
      <c r="M31" s="75"/>
      <c r="N31" s="75"/>
      <c r="O31" s="75"/>
      <c r="P31" s="75"/>
      <c r="Q31" s="75"/>
      <c r="R31" s="75"/>
      <c r="S31" s="75"/>
      <c r="T31" s="75"/>
      <c r="U31" s="75"/>
      <c r="V31" s="76"/>
    </row>
    <row r="32" spans="1:24" s="19" customFormat="1" ht="12.75">
      <c r="A32" s="69"/>
      <c r="B32" s="69" t="s">
        <v>99</v>
      </c>
      <c r="C32" s="69"/>
      <c r="D32" s="69"/>
      <c r="E32" s="69"/>
      <c r="F32" s="69"/>
      <c r="G32" s="70">
        <f>G19-G26-G29</f>
        <v>85.50000000000001</v>
      </c>
      <c r="H32" s="69"/>
      <c r="I32" s="70">
        <f>I19-I26-I29</f>
        <v>87.60000000000001</v>
      </c>
      <c r="J32" s="69"/>
      <c r="K32" s="70">
        <f>K19-K26-K29</f>
        <v>78.00000000000001</v>
      </c>
      <c r="L32" s="69"/>
      <c r="M32" s="70">
        <f>M19-M26-M29</f>
        <v>85.70000000000005</v>
      </c>
      <c r="N32" s="69"/>
      <c r="O32" s="70">
        <f>O19-O26-O29</f>
        <v>81.89999999999999</v>
      </c>
      <c r="P32" s="69"/>
      <c r="Q32" s="70">
        <f>Q19-Q26-Q29</f>
        <v>81.10000000000001</v>
      </c>
      <c r="R32" s="69"/>
      <c r="S32" s="70">
        <f>S19-S26-S29</f>
        <v>82.111</v>
      </c>
      <c r="T32" s="69"/>
      <c r="U32" s="70">
        <f>U19-U26-U29</f>
        <v>83.13211000000003</v>
      </c>
      <c r="V32" s="71"/>
      <c r="X32" s="62">
        <f>(U32/M32)^(1/(U$5-$M$5))-1</f>
        <v>-0.0075766008655852035</v>
      </c>
    </row>
    <row r="33" spans="1:24" s="56" customFormat="1" ht="12.75" customHeight="1">
      <c r="A33" s="72"/>
      <c r="B33" s="72"/>
      <c r="C33" s="72" t="s">
        <v>92</v>
      </c>
      <c r="D33" s="72"/>
      <c r="E33" s="72"/>
      <c r="F33" s="72"/>
      <c r="G33" s="73">
        <f>G32/G$7</f>
        <v>0.2305825242718447</v>
      </c>
      <c r="H33" s="72"/>
      <c r="I33" s="73">
        <f>I32/I$7</f>
        <v>0.2300420168067227</v>
      </c>
      <c r="J33" s="72"/>
      <c r="K33" s="73">
        <f>K32/K$7</f>
        <v>0.19378881987577642</v>
      </c>
      <c r="L33" s="72"/>
      <c r="M33" s="73">
        <f>M32/M$7</f>
        <v>0.18707705741104572</v>
      </c>
      <c r="N33" s="72"/>
      <c r="O33" s="73">
        <f>O32/O$7</f>
        <v>0.175</v>
      </c>
      <c r="P33" s="72"/>
      <c r="Q33" s="73">
        <f>Q32/Q$7</f>
        <v>0.17236981934112647</v>
      </c>
      <c r="R33" s="72"/>
      <c r="S33" s="73">
        <f>S32/S$7</f>
        <v>0.1727906903336455</v>
      </c>
      <c r="T33" s="72"/>
      <c r="U33" s="73">
        <f>U32/U$7</f>
        <v>0.17320739428663467</v>
      </c>
      <c r="V33" s="74"/>
      <c r="X33" s="3"/>
    </row>
    <row r="34" spans="1:22" ht="4.5" customHeight="1">
      <c r="A34" s="75"/>
      <c r="B34" s="75"/>
      <c r="C34" s="75"/>
      <c r="D34" s="75"/>
      <c r="E34" s="75"/>
      <c r="F34" s="75"/>
      <c r="G34" s="75"/>
      <c r="H34" s="75"/>
      <c r="I34" s="75"/>
      <c r="J34" s="75"/>
      <c r="K34" s="75"/>
      <c r="L34" s="75"/>
      <c r="M34" s="75"/>
      <c r="N34" s="75"/>
      <c r="O34" s="75"/>
      <c r="P34" s="75"/>
      <c r="Q34" s="75"/>
      <c r="R34" s="75"/>
      <c r="S34" s="75"/>
      <c r="T34" s="75"/>
      <c r="U34" s="75"/>
      <c r="V34" s="76"/>
    </row>
    <row r="35" spans="1:24" s="19" customFormat="1" ht="12.75">
      <c r="A35" s="69"/>
      <c r="B35" s="69" t="s">
        <v>100</v>
      </c>
      <c r="C35" s="69"/>
      <c r="D35" s="69"/>
      <c r="E35" s="69"/>
      <c r="F35" s="69"/>
      <c r="G35" s="70">
        <f>G32+G24+G29</f>
        <v>127.70000000000002</v>
      </c>
      <c r="H35" s="69"/>
      <c r="I35" s="70">
        <f>I32+I24+I29</f>
        <v>119.20000000000002</v>
      </c>
      <c r="J35" s="69"/>
      <c r="K35" s="70">
        <f>K32+K24+K29</f>
        <v>107.90000000000002</v>
      </c>
      <c r="L35" s="69"/>
      <c r="M35" s="70">
        <f>M32+M24+M29</f>
        <v>116.10000000000004</v>
      </c>
      <c r="N35" s="69"/>
      <c r="O35" s="70">
        <f>O32+O24+O29</f>
        <v>112.39999999999998</v>
      </c>
      <c r="P35" s="69"/>
      <c r="Q35" s="70">
        <f>Q32+Q24+Q29</f>
        <v>111.80000000000001</v>
      </c>
      <c r="R35" s="69"/>
      <c r="S35" s="70">
        <f>S32+S24+S29</f>
        <v>112.918</v>
      </c>
      <c r="T35" s="69"/>
      <c r="U35" s="70">
        <f>U32+U24+U29</f>
        <v>114.04718000000003</v>
      </c>
      <c r="V35" s="71"/>
      <c r="X35" s="62">
        <f>(U35/M35)^(1/(U$5-$M$5))-1</f>
        <v>-0.004449985910014886</v>
      </c>
    </row>
    <row r="36" spans="1:24" s="56" customFormat="1" ht="12.75" customHeight="1">
      <c r="A36" s="72"/>
      <c r="B36" s="72"/>
      <c r="C36" s="72" t="s">
        <v>92</v>
      </c>
      <c r="D36" s="72"/>
      <c r="E36" s="72"/>
      <c r="F36" s="72"/>
      <c r="G36" s="73">
        <f>G35/G$7</f>
        <v>0.3443905070118663</v>
      </c>
      <c r="H36" s="72"/>
      <c r="I36" s="73">
        <f>I35/I$7</f>
        <v>0.31302521008403367</v>
      </c>
      <c r="J36" s="72"/>
      <c r="K36" s="73">
        <f>K35/K$7</f>
        <v>0.26807453416149074</v>
      </c>
      <c r="L36" s="72"/>
      <c r="M36" s="73">
        <f>M35/M$7</f>
        <v>0.2534381139489195</v>
      </c>
      <c r="N36" s="72"/>
      <c r="O36" s="73">
        <f>O35/O$7</f>
        <v>0.24017094017094012</v>
      </c>
      <c r="P36" s="72"/>
      <c r="Q36" s="73">
        <f>Q35/Q$7</f>
        <v>0.23761955366631246</v>
      </c>
      <c r="R36" s="72"/>
      <c r="S36" s="73">
        <f>S35/S$7</f>
        <v>0.23761955366631246</v>
      </c>
      <c r="T36" s="72"/>
      <c r="U36" s="73">
        <f>U35/U$7</f>
        <v>0.2376195536663125</v>
      </c>
      <c r="V36" s="74"/>
      <c r="X36" s="3"/>
    </row>
    <row r="37" spans="1:22" ht="4.5" customHeight="1">
      <c r="A37" s="80"/>
      <c r="B37" s="80"/>
      <c r="C37" s="80"/>
      <c r="D37" s="80"/>
      <c r="E37" s="80"/>
      <c r="F37" s="80"/>
      <c r="G37" s="80"/>
      <c r="H37" s="80"/>
      <c r="I37" s="80"/>
      <c r="J37" s="80"/>
      <c r="K37" s="80"/>
      <c r="L37" s="80"/>
      <c r="M37" s="80"/>
      <c r="N37" s="80"/>
      <c r="O37" s="80"/>
      <c r="P37" s="80"/>
      <c r="Q37" s="80"/>
      <c r="R37" s="80"/>
      <c r="S37" s="80"/>
      <c r="T37" s="80"/>
      <c r="U37" s="80"/>
      <c r="V37" s="81"/>
    </row>
    <row r="38" ht="4.5" customHeight="1">
      <c r="C38" s="82"/>
    </row>
    <row r="39" spans="2:21" s="63" customFormat="1" ht="12.75">
      <c r="B39" s="63" t="s">
        <v>101</v>
      </c>
      <c r="G39" s="17">
        <v>4.9</v>
      </c>
      <c r="I39" s="17">
        <v>0.9</v>
      </c>
      <c r="K39" s="83">
        <v>0</v>
      </c>
      <c r="M39" s="17">
        <v>-2.4</v>
      </c>
      <c r="O39" s="83">
        <v>0</v>
      </c>
      <c r="P39" s="105"/>
      <c r="Q39" s="83">
        <v>0</v>
      </c>
      <c r="S39" s="103">
        <f>Q39</f>
        <v>0</v>
      </c>
      <c r="T39" s="98"/>
      <c r="U39" s="103">
        <f>S39</f>
        <v>0</v>
      </c>
    </row>
    <row r="40" spans="2:21" ht="12.75">
      <c r="B40" t="s">
        <v>102</v>
      </c>
      <c r="G40" s="83">
        <v>0</v>
      </c>
      <c r="I40" s="83">
        <v>0</v>
      </c>
      <c r="K40" s="83">
        <v>0</v>
      </c>
      <c r="M40" s="83">
        <v>0</v>
      </c>
      <c r="O40" s="83">
        <v>0</v>
      </c>
      <c r="Q40" s="83">
        <v>0</v>
      </c>
      <c r="S40" s="103">
        <f>Q40</f>
        <v>0</v>
      </c>
      <c r="T40" s="98"/>
      <c r="U40" s="103">
        <f>S40</f>
        <v>0</v>
      </c>
    </row>
    <row r="41" spans="2:21" ht="12.75">
      <c r="B41" t="s">
        <v>103</v>
      </c>
      <c r="G41" s="83">
        <v>0</v>
      </c>
      <c r="I41" s="83">
        <v>0</v>
      </c>
      <c r="K41" s="83">
        <v>0</v>
      </c>
      <c r="M41" s="83">
        <v>0</v>
      </c>
      <c r="O41" s="83">
        <v>0</v>
      </c>
      <c r="Q41" s="83">
        <v>0</v>
      </c>
      <c r="S41" s="103">
        <f>Q41</f>
        <v>0</v>
      </c>
      <c r="T41" s="98"/>
      <c r="U41" s="103">
        <f>S41</f>
        <v>0</v>
      </c>
    </row>
    <row r="42" spans="2:21" s="63" customFormat="1" ht="13.5" customHeight="1" thickBot="1">
      <c r="B42" s="63" t="s">
        <v>104</v>
      </c>
      <c r="G42" s="17">
        <v>0.1</v>
      </c>
      <c r="I42" s="83">
        <v>0</v>
      </c>
      <c r="K42" s="83">
        <v>0</v>
      </c>
      <c r="M42" s="113">
        <v>-0.1</v>
      </c>
      <c r="N42" s="105"/>
      <c r="O42" s="83">
        <v>0</v>
      </c>
      <c r="P42" s="105"/>
      <c r="Q42" s="83">
        <v>0</v>
      </c>
      <c r="R42" s="105"/>
      <c r="S42" s="103">
        <f>Q42</f>
        <v>0</v>
      </c>
      <c r="T42" s="104"/>
      <c r="U42" s="103">
        <f>S42</f>
        <v>0</v>
      </c>
    </row>
    <row r="43" spans="2:24" ht="12.75">
      <c r="B43" t="s">
        <v>105</v>
      </c>
      <c r="G43" s="65">
        <f>G35-SUM(G39:G42)</f>
        <v>122.70000000000002</v>
      </c>
      <c r="I43" s="65">
        <f>I35-SUM(I39:I42)</f>
        <v>118.30000000000001</v>
      </c>
      <c r="K43" s="65">
        <f>K35-SUM(K39:K42)</f>
        <v>107.90000000000002</v>
      </c>
      <c r="L43" s="95"/>
      <c r="M43" s="65">
        <f>M35-SUM(M39:M42)</f>
        <v>118.60000000000004</v>
      </c>
      <c r="O43" s="65">
        <f>O35-SUM(O39:O42)</f>
        <v>112.39999999999998</v>
      </c>
      <c r="Q43" s="65">
        <f>Q35-SUM(Q39:Q42)</f>
        <v>111.80000000000001</v>
      </c>
      <c r="R43" s="95"/>
      <c r="S43" s="65">
        <f>S35-SUM(S39:S42)</f>
        <v>112.918</v>
      </c>
      <c r="U43" s="65">
        <f>U35-SUM(U39:U42)</f>
        <v>114.04718000000003</v>
      </c>
      <c r="X43" s="62">
        <f>(U43/M43)^(1/(U$5-$M$5))-1</f>
        <v>-0.009738338305643857</v>
      </c>
    </row>
    <row r="44" ht="4.5" customHeight="1"/>
    <row r="45" spans="2:24" s="63" customFormat="1" ht="12.75">
      <c r="B45" s="63" t="s">
        <v>106</v>
      </c>
      <c r="G45" s="88">
        <f>G46*G43</f>
        <v>24.302077562326872</v>
      </c>
      <c r="I45" s="88">
        <f>I46*I43</f>
        <v>17.473355399255276</v>
      </c>
      <c r="K45" s="88">
        <f>K46*K43</f>
        <v>11.377751196172254</v>
      </c>
      <c r="M45" s="88">
        <f>M46*M43</f>
        <v>15.842523913408296</v>
      </c>
      <c r="O45" s="88">
        <f>O46*O43</f>
        <v>15.47536231884058</v>
      </c>
      <c r="Q45" s="88">
        <f>Q46*Q43</f>
        <v>15.394172086043026</v>
      </c>
      <c r="S45" s="88">
        <f>S46*S43</f>
        <v>15.548113806903457</v>
      </c>
      <c r="U45" s="88">
        <f>U46*U43</f>
        <v>15.703594944972494</v>
      </c>
      <c r="X45" s="105"/>
    </row>
    <row r="46" spans="3:24" s="56" customFormat="1" ht="12.75" customHeight="1" thickBot="1">
      <c r="C46" s="56" t="s">
        <v>107</v>
      </c>
      <c r="G46" s="53">
        <f>'Buyer P&amp;L'!G46</f>
        <v>0.19806094182825484</v>
      </c>
      <c r="I46" s="53">
        <f>'Buyer P&amp;L'!I46</f>
        <v>0.1477037649979313</v>
      </c>
      <c r="K46" s="53">
        <f>'Buyer P&amp;L'!K46</f>
        <v>0.10544718439455283</v>
      </c>
      <c r="M46" s="53">
        <f>'Buyer P&amp;L'!M46</f>
        <v>0.13357945964087936</v>
      </c>
      <c r="O46" s="53">
        <f>'Buyer P&amp;L'!O46</f>
        <v>0.13768115942028988</v>
      </c>
      <c r="Q46" s="53">
        <f>'Buyer P&amp;L'!Q46</f>
        <v>0.13769384692346176</v>
      </c>
      <c r="S46" s="53">
        <f>'Buyer P&amp;L'!S46</f>
        <v>0.13769384692346176</v>
      </c>
      <c r="U46" s="53">
        <f>'Buyer P&amp;L'!U46</f>
        <v>0.13769384692346176</v>
      </c>
      <c r="X46" s="63"/>
    </row>
    <row r="47" spans="7:24" ht="4.5" customHeight="1">
      <c r="G47" s="65"/>
      <c r="I47" s="65"/>
      <c r="K47" s="65"/>
      <c r="M47" s="65"/>
      <c r="O47" s="65"/>
      <c r="Q47" s="65"/>
      <c r="S47" s="65"/>
      <c r="U47" s="65"/>
      <c r="X47" s="3"/>
    </row>
    <row r="48" spans="2:24" s="19" customFormat="1" ht="12.75">
      <c r="B48" s="19" t="s">
        <v>108</v>
      </c>
      <c r="G48" s="84">
        <f>G43-G45</f>
        <v>98.39792243767315</v>
      </c>
      <c r="H48" s="84"/>
      <c r="I48" s="84">
        <f>I43-I45</f>
        <v>100.82664460074474</v>
      </c>
      <c r="K48" s="84">
        <f>K43-K45</f>
        <v>96.52224880382776</v>
      </c>
      <c r="M48" s="84">
        <f>M43-M45</f>
        <v>102.75747608659174</v>
      </c>
      <c r="O48" s="84">
        <f>O43-O45</f>
        <v>96.9246376811594</v>
      </c>
      <c r="Q48" s="84">
        <f>Q43-Q45</f>
        <v>96.40582791395698</v>
      </c>
      <c r="S48" s="84">
        <f>S43-S45</f>
        <v>97.36988619309655</v>
      </c>
      <c r="U48" s="84">
        <f>U43-U45</f>
        <v>98.34358505502753</v>
      </c>
      <c r="X48" s="62">
        <f>(U48/M48)^(1/(U$5-$M$5))-1</f>
        <v>-0.010916056107146632</v>
      </c>
    </row>
    <row r="49" spans="3:21" s="56" customFormat="1" ht="12.75" customHeight="1">
      <c r="C49" s="56" t="s">
        <v>92</v>
      </c>
      <c r="G49" s="64">
        <f>G48/G$7</f>
        <v>0.26536656536589304</v>
      </c>
      <c r="I49" s="64">
        <f>I48/I$7</f>
        <v>0.2647758524179221</v>
      </c>
      <c r="K49" s="64">
        <f>K48/K$7</f>
        <v>0.23980682932628017</v>
      </c>
      <c r="M49" s="64">
        <f>M48/M$7</f>
        <v>0.22431232500893197</v>
      </c>
      <c r="O49" s="64">
        <f>O48/O$7</f>
        <v>0.207103926669144</v>
      </c>
      <c r="Q49" s="64">
        <f>Q48/Q$7</f>
        <v>0.2049008032177619</v>
      </c>
      <c r="S49" s="64">
        <f>S48/S$7</f>
        <v>0.2049008032177619</v>
      </c>
      <c r="U49" s="64">
        <f>U48/U$7</f>
        <v>0.20490080321776197</v>
      </c>
    </row>
    <row r="50" ht="4.5" customHeight="1">
      <c r="X50" s="3"/>
    </row>
    <row r="51" spans="1:24" s="19" customFormat="1" ht="12.75">
      <c r="A51" s="85"/>
      <c r="B51" s="85" t="s">
        <v>109</v>
      </c>
      <c r="C51" s="85"/>
      <c r="D51" s="85"/>
      <c r="E51" s="85"/>
      <c r="F51" s="85"/>
      <c r="G51" s="86">
        <f>G48/G53</f>
        <v>2.8062378062306967</v>
      </c>
      <c r="H51" s="85"/>
      <c r="I51" s="86">
        <f>I48/I53</f>
        <v>2.9759930519700335</v>
      </c>
      <c r="J51" s="85"/>
      <c r="K51" s="86">
        <f>K48/K53</f>
        <v>2.7128231816702577</v>
      </c>
      <c r="L51" s="85"/>
      <c r="M51" s="86">
        <f>M48/M53</f>
        <v>2.8480453460807023</v>
      </c>
      <c r="N51" s="85"/>
      <c r="O51" s="86">
        <f>O48/O53</f>
        <v>2.6496620470519248</v>
      </c>
      <c r="P51" s="85"/>
      <c r="Q51" s="86">
        <f>Q48/Q53</f>
        <v>2.6354791665925914</v>
      </c>
      <c r="R51" s="85"/>
      <c r="S51" s="86">
        <f>S48/S53</f>
        <v>2.661833958258517</v>
      </c>
      <c r="T51" s="85"/>
      <c r="U51" s="86">
        <f>U48/U53</f>
        <v>2.6884522978411027</v>
      </c>
      <c r="V51" s="87"/>
      <c r="X51" s="62">
        <f>(U51/M51)^(1/(U$5-$M$5))-1</f>
        <v>-0.014313385761233643</v>
      </c>
    </row>
    <row r="52" ht="4.5" customHeight="1"/>
    <row r="53" spans="2:21" ht="12.75">
      <c r="B53" t="s">
        <v>110</v>
      </c>
      <c r="G53" s="12">
        <v>35.064</v>
      </c>
      <c r="H53" s="12"/>
      <c r="I53" s="12">
        <v>33.88</v>
      </c>
      <c r="J53" s="12"/>
      <c r="K53" s="12">
        <v>35.58</v>
      </c>
      <c r="L53" s="12"/>
      <c r="M53" s="12">
        <v>36.08</v>
      </c>
      <c r="N53" s="12"/>
      <c r="O53" s="12">
        <v>36.58</v>
      </c>
      <c r="P53" s="12"/>
      <c r="Q53" s="12">
        <v>36.58</v>
      </c>
      <c r="R53" s="114"/>
      <c r="S53" s="115">
        <f>Q53</f>
        <v>36.58</v>
      </c>
      <c r="T53" s="115"/>
      <c r="U53" s="115">
        <f>S53</f>
        <v>36.58</v>
      </c>
    </row>
    <row r="55" ht="12.75">
      <c r="B55" s="19" t="s">
        <v>111</v>
      </c>
    </row>
    <row r="56" spans="3:21" ht="12.75">
      <c r="C56" t="s">
        <v>96</v>
      </c>
      <c r="G56" s="16">
        <f>G24*(1-G46)</f>
        <v>20.60983379501385</v>
      </c>
      <c r="I56" s="16">
        <f>I24*(1-I46)</f>
        <v>15.511791477037649</v>
      </c>
      <c r="K56" s="16">
        <f>K24*(1-K46)</f>
        <v>16.638682370261318</v>
      </c>
      <c r="M56" s="16">
        <f>M24*(1-M46)</f>
        <v>16.981842591038767</v>
      </c>
      <c r="O56" s="16">
        <f>O24*(1-O46)</f>
        <v>17.16014492753623</v>
      </c>
      <c r="Q56" s="16">
        <f>Q24*(1-Q46)</f>
        <v>17.246123061530763</v>
      </c>
      <c r="S56" s="16">
        <f>S24*(1-S46)</f>
        <v>17.246123061530763</v>
      </c>
      <c r="U56" s="16">
        <f>U24*(1-U46)</f>
        <v>17.246123061530763</v>
      </c>
    </row>
    <row r="57" spans="3:21" ht="12.75">
      <c r="C57" t="s">
        <v>98</v>
      </c>
      <c r="G57" s="88">
        <f>G29*(1-G46)</f>
        <v>13.231994459833794</v>
      </c>
      <c r="I57" s="88">
        <f>I29*(1-I46)</f>
        <v>11.42076954902772</v>
      </c>
      <c r="K57" s="88">
        <f>K29*(1-K46)</f>
        <v>10.108446816341553</v>
      </c>
      <c r="M57" s="88">
        <f>M29*(1-M46)</f>
        <v>9.357341835878504</v>
      </c>
      <c r="O57" s="88">
        <f>O29*(1-O46)</f>
        <v>9.140579710144927</v>
      </c>
      <c r="Q57" s="88">
        <f>Q29*(1-Q46)</f>
        <v>9.22667583791896</v>
      </c>
      <c r="S57" s="88">
        <f>S29*(1-S46)</f>
        <v>9.318942596298147</v>
      </c>
      <c r="U57" s="88">
        <f>U29*(1-U46)</f>
        <v>9.41213202226113</v>
      </c>
    </row>
    <row r="58" spans="3:21" ht="13.5" customHeight="1" thickBot="1">
      <c r="C58" t="s">
        <v>112</v>
      </c>
      <c r="G58" s="17">
        <v>8.2</v>
      </c>
      <c r="I58" s="17">
        <v>3.4</v>
      </c>
      <c r="K58" s="17">
        <v>0.7</v>
      </c>
      <c r="M58" s="113">
        <v>0.1</v>
      </c>
      <c r="N58" s="98"/>
      <c r="O58" s="83">
        <v>0</v>
      </c>
      <c r="P58" s="98"/>
      <c r="Q58" s="83">
        <v>0</v>
      </c>
      <c r="R58" s="98"/>
      <c r="S58" s="103">
        <f>Q58</f>
        <v>0</v>
      </c>
      <c r="T58" s="98"/>
      <c r="U58" s="103">
        <f>S58</f>
        <v>0</v>
      </c>
    </row>
    <row r="59" spans="7:21" ht="4.5" customHeight="1">
      <c r="G59" s="65"/>
      <c r="I59" s="65"/>
      <c r="K59" s="65"/>
      <c r="M59" s="65"/>
      <c r="O59" s="106"/>
      <c r="Q59" s="106"/>
      <c r="S59" s="106"/>
      <c r="U59" s="106"/>
    </row>
    <row r="60" spans="2:24" s="19" customFormat="1" ht="12.75">
      <c r="B60" s="19" t="s">
        <v>113</v>
      </c>
      <c r="G60" s="84">
        <f>G48-SUM(G56:G58)</f>
        <v>56.3560941828255</v>
      </c>
      <c r="I60" s="84">
        <f>I48-SUM(I56:I58)</f>
        <v>70.49408357467938</v>
      </c>
      <c r="K60" s="84">
        <f>K48-SUM(K56:K58)</f>
        <v>69.0751196172249</v>
      </c>
      <c r="M60" s="84">
        <f>M48-SUM(M56:M58)</f>
        <v>76.31829165967446</v>
      </c>
      <c r="O60" s="84">
        <f>O48-SUM(O56:O58)</f>
        <v>70.62391304347824</v>
      </c>
      <c r="Q60" s="84">
        <f>Q48-SUM(Q56:Q58)</f>
        <v>69.93302901450727</v>
      </c>
      <c r="S60" s="84">
        <f>S48-SUM(S56:S58)</f>
        <v>70.80482053526764</v>
      </c>
      <c r="U60" s="84">
        <f>U48-SUM(U56:U58)</f>
        <v>71.68532997123563</v>
      </c>
      <c r="X60" s="62">
        <f>(U60/M60)^(1/(U$5-$M$5))-1</f>
        <v>-0.015534701931343542</v>
      </c>
    </row>
    <row r="61" spans="3:21" s="56" customFormat="1" ht="12.75" customHeight="1">
      <c r="C61" s="56" t="s">
        <v>92</v>
      </c>
      <c r="G61" s="64">
        <f>G60/G$7</f>
        <v>0.15198515151786812</v>
      </c>
      <c r="I61" s="64">
        <f>I60/I$7</f>
        <v>0.18512101779064963</v>
      </c>
      <c r="K61" s="64">
        <f>K60/K$7</f>
        <v>0.17161520401795005</v>
      </c>
      <c r="M61" s="64">
        <f>M60/M$7</f>
        <v>0.1665974495954474</v>
      </c>
      <c r="O61" s="64">
        <f>O60/O$7</f>
        <v>0.15090579710144922</v>
      </c>
      <c r="Q61" s="64">
        <f>Q60/Q$7</f>
        <v>0.14863555582254467</v>
      </c>
      <c r="S61" s="64">
        <f>S60/S$7</f>
        <v>0.14899847546904524</v>
      </c>
      <c r="U61" s="64">
        <f>U60/U$7</f>
        <v>0.1493578018517191</v>
      </c>
    </row>
    <row r="62" ht="4.5" customHeight="1">
      <c r="X62" s="3"/>
    </row>
    <row r="63" spans="1:24" ht="12.75">
      <c r="A63" s="85"/>
      <c r="B63" s="85" t="s">
        <v>114</v>
      </c>
      <c r="C63" s="85"/>
      <c r="D63" s="85"/>
      <c r="E63" s="85"/>
      <c r="F63" s="85"/>
      <c r="G63" s="86">
        <f>G60/G53</f>
        <v>1.6072351751889544</v>
      </c>
      <c r="H63" s="85"/>
      <c r="I63" s="86">
        <f>I60/I53</f>
        <v>2.080699042936227</v>
      </c>
      <c r="J63" s="85"/>
      <c r="K63" s="86">
        <f>K60/K53</f>
        <v>1.941403024655</v>
      </c>
      <c r="L63" s="85"/>
      <c r="M63" s="86">
        <f>M60/M53</f>
        <v>2.115251986132884</v>
      </c>
      <c r="N63" s="85"/>
      <c r="O63" s="86">
        <f>O60/O53</f>
        <v>1.930670121472888</v>
      </c>
      <c r="P63" s="85"/>
      <c r="Q63" s="86">
        <f>Q60/Q53</f>
        <v>1.911783187930762</v>
      </c>
      <c r="R63" s="85"/>
      <c r="S63" s="86">
        <f>S60/S53</f>
        <v>1.9356156515928824</v>
      </c>
      <c r="T63" s="85"/>
      <c r="U63" s="86">
        <f>U60/U53</f>
        <v>1.9596864398916247</v>
      </c>
      <c r="V63" s="87"/>
      <c r="X63" s="62">
        <f>(U63/M63)^(1/(U$5-$M$5))-1</f>
        <v>-0.018916167348105528</v>
      </c>
    </row>
    <row r="65" spans="2:21" s="89" customFormat="1" ht="12.75" customHeight="1">
      <c r="B65" s="89" t="s">
        <v>115</v>
      </c>
      <c r="G65" s="23">
        <v>26</v>
      </c>
      <c r="I65" s="23">
        <v>12.5</v>
      </c>
      <c r="K65" s="23">
        <v>18</v>
      </c>
      <c r="M65" s="23">
        <v>16</v>
      </c>
      <c r="O65" s="23">
        <v>14.1</v>
      </c>
      <c r="Q65" s="16">
        <f>Q66*Q7</f>
        <v>14.175320512820512</v>
      </c>
      <c r="S65" s="16">
        <f>S66*S7</f>
        <v>14.317073717948718</v>
      </c>
      <c r="U65" s="16">
        <f>U66*U7</f>
        <v>14.460244455128205</v>
      </c>
    </row>
    <row r="66" spans="1:23" s="56" customFormat="1" ht="12.75" customHeight="1">
      <c r="A66" s="72"/>
      <c r="B66" s="72"/>
      <c r="C66" s="72" t="s">
        <v>90</v>
      </c>
      <c r="D66" s="72"/>
      <c r="E66" s="72"/>
      <c r="F66" s="72"/>
      <c r="G66" s="73">
        <f>G65/G$7</f>
        <v>0.07011866235167206</v>
      </c>
      <c r="H66" s="72"/>
      <c r="I66" s="73">
        <f>I65/I$7</f>
        <v>0.03282563025210084</v>
      </c>
      <c r="J66" s="72"/>
      <c r="K66" s="73">
        <f>K65/K$7</f>
        <v>0.04472049689440994</v>
      </c>
      <c r="L66" s="72"/>
      <c r="M66" s="73">
        <f>M65/M$7</f>
        <v>0.034926871862038855</v>
      </c>
      <c r="N66" s="72"/>
      <c r="O66" s="73">
        <f>O65/O$7</f>
        <v>0.03012820512820513</v>
      </c>
      <c r="P66" s="72"/>
      <c r="Q66" s="73">
        <f>O66</f>
        <v>0.03012820512820513</v>
      </c>
      <c r="R66" s="72"/>
      <c r="S66" s="73">
        <f>Q66</f>
        <v>0.03012820512820513</v>
      </c>
      <c r="T66" s="72"/>
      <c r="U66" s="73">
        <f>S66</f>
        <v>0.03012820512820513</v>
      </c>
      <c r="V66" s="72"/>
      <c r="W66" s="7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2008-10-06T18:34:59Z</dcterms:created>
  <dcterms:modified xsi:type="dcterms:W3CDTF">2009-06-09T03:12:21Z</dcterms:modified>
  <cp:category/>
  <cp:version/>
  <cp:contentType/>
  <cp:contentStatus/>
</cp:coreProperties>
</file>