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24555" windowHeight="12780" activeTab="0"/>
  </bookViews>
  <sheets>
    <sheet name="LBO" sheetId="1" r:id="rId1"/>
    <sheet name="Target P&amp;L" sheetId="2" r:id="rId2"/>
  </sheets>
  <definedNames>
    <definedName name="avg_int">'LBO'!$Q$29</definedName>
    <definedName name="curr_date">'LBO'!$Y$37</definedName>
    <definedName name="depr">'LBO'!$B$163</definedName>
    <definedName name="err_msg">'LBO'!#REF!</definedName>
    <definedName name="fin_case">'LBO'!$Q$42</definedName>
    <definedName name="fye">'LBO'!$Y$35</definedName>
    <definedName name="goodwill">'LBO'!$AI$26</definedName>
    <definedName name="LBO">'LBO'!$S$335</definedName>
    <definedName name="libor">'LBO'!$Q$26</definedName>
    <definedName name="ltm_date">'LBO'!$Y$36</definedName>
    <definedName name="ltm_ebitda">'LBO'!$M$60</definedName>
    <definedName name="min_cash">'LBO'!$Q$37</definedName>
    <definedName name="op_case">'LBO'!$Y$27</definedName>
    <definedName name="refi">'LBO'!$Q$33</definedName>
    <definedName name="revolver">'LBO'!$Q$38</definedName>
    <definedName name="stub">'LBO'!$Y$41</definedName>
    <definedName name="tax_rate">'LBO'!$AI$11</definedName>
    <definedName name="tgt">'LBO'!$AI$30</definedName>
    <definedName name="trans_price">'LBO'!$Y$8</definedName>
    <definedName name="treas">'LBO'!$Q$27</definedName>
  </definedNames>
  <calcPr calcMode="autoNoTable" fullCalcOnLoad="1" iterate="1" iterateCount="1000" iterateDelta="0.001"/>
</workbook>
</file>

<file path=xl/comments1.xml><?xml version="1.0" encoding="utf-8"?>
<comments xmlns="http://schemas.openxmlformats.org/spreadsheetml/2006/main">
  <authors>
    <author>Ryan MacGregor</author>
  </authors>
  <commentList>
    <comment ref="Y38" authorId="0">
      <text>
        <r>
          <rPr>
            <sz val="8"/>
            <color indexed="8"/>
            <rFont val="Tahoma"/>
            <family val="0"/>
          </rPr>
          <t>Closing date should be no more than 12 months from the last FYE or model will break.</t>
        </r>
      </text>
    </comment>
    <comment ref="Y40" authorId="0">
      <text>
        <r>
          <rPr>
            <sz val="8"/>
            <color indexed="8"/>
            <rFont val="Tahoma"/>
            <family val="0"/>
          </rPr>
          <t>This should never be less than zero.</t>
        </r>
      </text>
    </comment>
    <comment ref="A55" authorId="0">
      <text>
        <r>
          <rPr>
            <sz val="8"/>
            <color indexed="8"/>
            <rFont val="Tahoma"/>
            <family val="0"/>
          </rPr>
          <t>Does not include stock-based compensation expense.</t>
        </r>
      </text>
    </comment>
    <comment ref="S54" authorId="0">
      <text>
        <r>
          <rPr>
            <sz val="8"/>
            <rFont val="Tahoma"/>
            <family val="2"/>
          </rPr>
          <t>Assume synergies are not realized until Year 2.</t>
        </r>
      </text>
    </comment>
    <comment ref="S56" authorId="0">
      <text>
        <r>
          <rPr>
            <sz val="8"/>
            <rFont val="Tahoma"/>
            <family val="2"/>
          </rPr>
          <t>Assume synergies are not realized until Year 2.</t>
        </r>
      </text>
    </comment>
    <comment ref="AK48" authorId="0">
      <text>
        <r>
          <rPr>
            <sz val="8"/>
            <color indexed="8"/>
            <rFont val="Tahoma"/>
            <family val="0"/>
          </rPr>
          <t>Source:  10-Q dated 3/31/2008.</t>
        </r>
      </text>
    </comment>
    <comment ref="AM48" authorId="0">
      <text>
        <r>
          <rPr>
            <sz val="8"/>
            <color indexed="8"/>
            <rFont val="Tahoma"/>
            <family val="0"/>
          </rPr>
          <t>Source:  10-Q dated 3/31/2008.</t>
        </r>
      </text>
    </comment>
    <comment ref="B90" authorId="0">
      <text>
        <r>
          <rPr>
            <sz val="8"/>
            <color indexed="8"/>
            <rFont val="Tahoma"/>
            <family val="0"/>
          </rPr>
          <t>This DTA does not include NOLs.  Any NOLs are reflected in the long-term DTA below.</t>
        </r>
      </text>
    </comment>
    <comment ref="B114" authorId="0">
      <text>
        <r>
          <rPr>
            <sz val="8"/>
            <color indexed="8"/>
            <rFont val="Tahoma"/>
            <family val="0"/>
          </rPr>
          <t>Any DTAs related to NOLs are included here as a negative DTL.</t>
        </r>
      </text>
    </comment>
    <comment ref="AQ30" authorId="0">
      <text>
        <r>
          <rPr>
            <sz val="8"/>
            <color indexed="8"/>
            <rFont val="Tahoma"/>
            <family val="0"/>
          </rPr>
          <t>Includes current portion of long-term debt.</t>
        </r>
      </text>
    </comment>
    <comment ref="Q38" authorId="0">
      <text>
        <r>
          <rPr>
            <sz val="8"/>
            <color indexed="8"/>
            <rFont val="Tahoma"/>
            <family val="0"/>
          </rPr>
          <t>This is the size of the revolving credit facility to which the bank has committed.</t>
        </r>
      </text>
    </comment>
    <comment ref="B130" authorId="0">
      <text>
        <r>
          <rPr>
            <sz val="8"/>
            <color indexed="8"/>
            <rFont val="Tahoma"/>
            <family val="0"/>
          </rPr>
          <t>Under the new FAS 141r accounting rules, effective 12/15/2008, non-controlling interest now resides in the shareholders' equity section of the balance sheet.</t>
        </r>
      </text>
    </comment>
    <comment ref="K169" authorId="0">
      <text>
        <r>
          <rPr>
            <sz val="8"/>
            <color indexed="8"/>
            <rFont val="Tahoma"/>
            <family val="0"/>
          </rPr>
          <t>This is the year in which the debt (or majority of the debt) must be repaid.</t>
        </r>
      </text>
    </comment>
    <comment ref="M169" authorId="0">
      <text>
        <r>
          <rPr>
            <sz val="8"/>
            <color indexed="8"/>
            <rFont val="Tahoma"/>
            <family val="0"/>
          </rPr>
          <t>With some forms of junior debt and preferred stock, interest and dividend payments may be made "in-kind", meaning that rather than paying interest or dividends with cash, TargetCo may instead pay with additional amounts of debt or preferred stock, as applicable, that increase the face value of these securities.  Payment-in-kind ("PIK") is often structured so that TargetCo has the option to pay either cash or in-kind for the first few years, after which all interest payments and dividends must be paid in cash.  TargetCo will often elect to pay in-kind whenever possible to conserve cash.  Whether such payments are made in-kind or in cash, the interest expense or dividend payments appear in full on the income statement.  Any amounts paid in-kind are added back to net income on the cash flow statement since no cash was actually paid.  We assume here that any years PIK are measured from the date the deal closes.</t>
        </r>
      </text>
    </comment>
    <comment ref="G169" authorId="0">
      <text>
        <r>
          <rPr>
            <sz val="8"/>
            <rFont val="Tahoma"/>
            <family val="2"/>
          </rPr>
          <t>Percent amortization per year</t>
        </r>
      </text>
    </comment>
    <comment ref="I366" authorId="0">
      <text>
        <r>
          <rPr>
            <sz val="8"/>
            <color indexed="8"/>
            <rFont val="Tahoma"/>
            <family val="0"/>
          </rPr>
          <t>Since the revolver does not amortize, use the period over which the bank has committed the funds.</t>
        </r>
      </text>
    </comment>
    <comment ref="AI17" authorId="0">
      <text>
        <r>
          <rPr>
            <sz val="8"/>
            <color indexed="8"/>
            <rFont val="Tahoma"/>
            <family val="0"/>
          </rPr>
          <t>Under FAS 141r, effective 12/15/2008, expensed transaction and advisory fees are no longer included in the purchase price calculation.</t>
        </r>
      </text>
    </comment>
    <comment ref="AG25" authorId="0">
      <text>
        <r>
          <rPr>
            <sz val="8"/>
            <rFont val="Tahoma"/>
            <family val="2"/>
          </rPr>
          <t>Assumes that the pre-transaction recorded values of PP&amp;E and intangibles are the same for book and tax since DTL = (FMV - tax basis) * tax rate.</t>
        </r>
      </text>
    </comment>
    <comment ref="M246" authorId="0">
      <text>
        <r>
          <rPr>
            <sz val="8"/>
            <color indexed="8"/>
            <rFont val="Tahoma"/>
            <family val="0"/>
          </rPr>
          <t>Section 197 intangibles are always amortized over 15 years for tax purposes in an asset acquisition.  Section 197 intangibles include goodwill.</t>
        </r>
      </text>
    </comment>
    <comment ref="K252" authorId="0">
      <text>
        <r>
          <rPr>
            <sz val="8"/>
            <color indexed="8"/>
            <rFont val="Tahoma"/>
            <family val="0"/>
          </rPr>
          <t>Goodwill is not amortized for book purposes but, rather, tested for impairment.</t>
        </r>
      </text>
    </comment>
    <comment ref="M256" authorId="0">
      <text>
        <r>
          <rPr>
            <sz val="8"/>
            <color indexed="8"/>
            <rFont val="Tahoma"/>
            <family val="0"/>
          </rPr>
          <t>PP&amp;E is often depreciated fasster for tax purposes than for book purposes using MACRS because the PV of the tax savings is greater.</t>
        </r>
      </text>
    </comment>
    <comment ref="K107" authorId="0">
      <text>
        <r>
          <rPr>
            <sz val="8"/>
            <rFont val="Tahoma"/>
            <family val="2"/>
          </rPr>
          <t>If existing debt is refinanced, short-term debt goes to zero.  If not, short-term debt is rolled into long-term debt for simplicity.  Therefore, we eliminate short-term debt regardless of whether or not the existing debt is refinanced.</t>
        </r>
      </text>
    </comment>
    <comment ref="K119" authorId="0">
      <text>
        <r>
          <rPr>
            <sz val="8"/>
            <rFont val="Tahoma"/>
            <family val="2"/>
          </rPr>
          <t>Combine short-term debt and long-term debt if not refinanced to simplify the model.  We will ignore the current portion of long-term debt going forward.</t>
        </r>
      </text>
    </comment>
    <comment ref="M138" authorId="0">
      <text>
        <r>
          <rPr>
            <sz val="8"/>
            <rFont val="Tahoma"/>
            <family val="2"/>
          </rPr>
          <t>Under the old FAS 141 accounting rules, this amount would have been included in the purchase price calculation and increased goodwill, rather than expensed immiediately as shown here.</t>
        </r>
      </text>
    </comment>
    <comment ref="G208" authorId="0">
      <text>
        <r>
          <rPr>
            <sz val="8"/>
            <color indexed="8"/>
            <rFont val="Tahoma"/>
            <family val="0"/>
          </rPr>
          <t>Gross</t>
        </r>
      </text>
    </comment>
    <comment ref="I208" authorId="0">
      <text>
        <r>
          <rPr>
            <sz val="8"/>
            <color indexed="8"/>
            <rFont val="Tahoma"/>
            <family val="0"/>
          </rPr>
          <t>Average remaining useful life in years for all assets in each class.</t>
        </r>
      </text>
    </comment>
  </commentList>
</comments>
</file>

<file path=xl/sharedStrings.xml><?xml version="1.0" encoding="utf-8"?>
<sst xmlns="http://schemas.openxmlformats.org/spreadsheetml/2006/main" count="468" uniqueCount="340">
  <si>
    <t>($ in millions, except per share data)</t>
  </si>
  <si>
    <t>Valuation Summary</t>
  </si>
  <si>
    <t>Current Target Stock Price</t>
  </si>
  <si>
    <t>Offer Premium</t>
  </si>
  <si>
    <t>Offer Price Per Target Share</t>
  </si>
  <si>
    <t>Calendarization / Timing</t>
  </si>
  <si>
    <t>Last Fiscal Year End</t>
  </si>
  <si>
    <t>LTM End Date</t>
  </si>
  <si>
    <t>Current Date</t>
  </si>
  <si>
    <t>Expected Closing Date</t>
  </si>
  <si>
    <t>Months from Last FYE to LTM End</t>
  </si>
  <si>
    <t>Months from Closing to Next FYE</t>
  </si>
  <si>
    <t>Stub Allocation</t>
  </si>
  <si>
    <t>Model Detail</t>
  </si>
  <si>
    <t>Target Code Name</t>
  </si>
  <si>
    <t>TargetCo</t>
  </si>
  <si>
    <t>Model Created / Modified by:</t>
  </si>
  <si>
    <t>Last Modified:</t>
  </si>
  <si>
    <t>File Name:</t>
  </si>
  <si>
    <t>Chris P. Chicken</t>
  </si>
  <si>
    <t>212-555-1212</t>
  </si>
  <si>
    <t>CAGR</t>
  </si>
  <si>
    <t>Total Revenue</t>
  </si>
  <si>
    <t>% Growth</t>
  </si>
  <si>
    <t>NA</t>
  </si>
  <si>
    <t>COGS</t>
  </si>
  <si>
    <t>% of Sales</t>
  </si>
  <si>
    <t>Gross Profit</t>
  </si>
  <si>
    <t>% Margin</t>
  </si>
  <si>
    <t>SG&amp;A</t>
  </si>
  <si>
    <t>EBITDA</t>
  </si>
  <si>
    <t>Depreciation</t>
  </si>
  <si>
    <t>Amortization</t>
  </si>
  <si>
    <t>Total D&amp;A</t>
  </si>
  <si>
    <t>Stock-Based Comp</t>
  </si>
  <si>
    <t>EBIT</t>
  </si>
  <si>
    <t>EBITA</t>
  </si>
  <si>
    <t>Interest (Income) / Expense</t>
  </si>
  <si>
    <t>Equity (Income)</t>
  </si>
  <si>
    <t>Minority Interest</t>
  </si>
  <si>
    <t>Other (Income) / Expense</t>
  </si>
  <si>
    <t>Income Before Taxes</t>
  </si>
  <si>
    <t>Provision for Tax</t>
  </si>
  <si>
    <t>% Tax Rate</t>
  </si>
  <si>
    <t>Cash Net Income</t>
  </si>
  <si>
    <t>Cash Diluted EPS</t>
  </si>
  <si>
    <t>Diluted Shares Out</t>
  </si>
  <si>
    <t>Cash to GAAP Reconciliation:</t>
  </si>
  <si>
    <t>One-Time Charges</t>
  </si>
  <si>
    <t>GAAP Net Income</t>
  </si>
  <si>
    <t>GAAP Diluted EPS</t>
  </si>
  <si>
    <t>Capex</t>
  </si>
  <si>
    <t>Operating Assumptions</t>
  </si>
  <si>
    <t>Revenue Growth</t>
  </si>
  <si>
    <t>Management Case</t>
  </si>
  <si>
    <t>Analyst Case</t>
  </si>
  <si>
    <t>Downside Case</t>
  </si>
  <si>
    <t>COGS (% of Sales)</t>
  </si>
  <si>
    <t>SG&amp;A (% of Sales)</t>
  </si>
  <si>
    <t>Other (% of Sales)</t>
  </si>
  <si>
    <t>Operating Performance Drivers</t>
  </si>
  <si>
    <t>COGS Savings</t>
  </si>
  <si>
    <t>SG&amp;A Savings</t>
  </si>
  <si>
    <t>Total Savings</t>
  </si>
  <si>
    <t>Income Statement</t>
  </si>
  <si>
    <t>Net Sales</t>
  </si>
  <si>
    <t>Other</t>
  </si>
  <si>
    <t>LTM Inputs</t>
  </si>
  <si>
    <t>Ended</t>
  </si>
  <si>
    <t>LTM</t>
  </si>
  <si>
    <t>Balance Sheet</t>
  </si>
  <si>
    <t>Historical</t>
  </si>
  <si>
    <t>Adjustments</t>
  </si>
  <si>
    <t>Pro Forma</t>
  </si>
  <si>
    <t>GAAP/</t>
  </si>
  <si>
    <t>Closing</t>
  </si>
  <si>
    <t>Financing</t>
  </si>
  <si>
    <t>Assets</t>
  </si>
  <si>
    <t>Cash &amp; Equivalents</t>
  </si>
  <si>
    <t>Accounts Receivable</t>
  </si>
  <si>
    <t>Inventories</t>
  </si>
  <si>
    <t>Deferred Income Taxes</t>
  </si>
  <si>
    <t>Prepaid Expenses &amp; Other</t>
  </si>
  <si>
    <t>Total Current Assets</t>
  </si>
  <si>
    <t>PP&amp;E, gross</t>
  </si>
  <si>
    <t>(Accumluated Depreciation)</t>
  </si>
  <si>
    <t>PP&amp;E, net</t>
  </si>
  <si>
    <t>Equity Investments</t>
  </si>
  <si>
    <t>Capitalized Financing Costs</t>
  </si>
  <si>
    <t>Goodwill, net</t>
  </si>
  <si>
    <t>Intangible Assets, net</t>
  </si>
  <si>
    <t>Operating Rights, net</t>
  </si>
  <si>
    <t>Other Long-Term Assets</t>
  </si>
  <si>
    <t>Total Assets</t>
  </si>
  <si>
    <t>Liabilities</t>
  </si>
  <si>
    <t>Short-Term Debt</t>
  </si>
  <si>
    <t>Accounts Payable</t>
  </si>
  <si>
    <t>Accrued Liabilities</t>
  </si>
  <si>
    <t>Client Deposits</t>
  </si>
  <si>
    <t>Other Current Liabilities</t>
  </si>
  <si>
    <t>Total Current Liabilities</t>
  </si>
  <si>
    <t>Capital Leases</t>
  </si>
  <si>
    <t>Other Long-Term Liabilities</t>
  </si>
  <si>
    <t>Existing LT Debt (excl. current portion)</t>
  </si>
  <si>
    <t>Total Liabilities</t>
  </si>
  <si>
    <t>Shareholders' Equity</t>
  </si>
  <si>
    <t>Existing Shareholders' Equity</t>
  </si>
  <si>
    <t>Additional Paid-In Capital</t>
  </si>
  <si>
    <t>Retained Earnings</t>
  </si>
  <si>
    <t>Total Shareholders' Equity</t>
  </si>
  <si>
    <t>Liabilities &amp; S/H Equity</t>
  </si>
  <si>
    <t>Check</t>
  </si>
  <si>
    <t>Options</t>
  </si>
  <si>
    <t>Number of</t>
  </si>
  <si>
    <t>Average</t>
  </si>
  <si>
    <t>Treasury</t>
  </si>
  <si>
    <t>Options (m)</t>
  </si>
  <si>
    <t>Strike</t>
  </si>
  <si>
    <t>Shares</t>
  </si>
  <si>
    <t>Tranche 1</t>
  </si>
  <si>
    <t>Tranche 2</t>
  </si>
  <si>
    <t>Tranche 3</t>
  </si>
  <si>
    <t>Tranche 4</t>
  </si>
  <si>
    <t>Tranche 5</t>
  </si>
  <si>
    <t>Tranche 6</t>
  </si>
  <si>
    <t>Tranche 7</t>
  </si>
  <si>
    <t>Tranche 8</t>
  </si>
  <si>
    <t>Tranche 9</t>
  </si>
  <si>
    <t>Tranche 10</t>
  </si>
  <si>
    <t>Convertible Debt</t>
  </si>
  <si>
    <t>Convert 1</t>
  </si>
  <si>
    <t>Convert 2</t>
  </si>
  <si>
    <t>Face Value</t>
  </si>
  <si>
    <t>Conversion Price</t>
  </si>
  <si>
    <t>Convertible Shares</t>
  </si>
  <si>
    <t>Interest Rate</t>
  </si>
  <si>
    <t>Fully Diluted Shares Outstanding</t>
  </si>
  <si>
    <t>Basic Shares Outstanding</t>
  </si>
  <si>
    <t>Treasury Method Shares</t>
  </si>
  <si>
    <t>In-the-Money Convertible Shares</t>
  </si>
  <si>
    <t>Net Debt</t>
  </si>
  <si>
    <t>Non-Convertible Debt</t>
  </si>
  <si>
    <t>Cash &amp; Cash Equivalents</t>
  </si>
  <si>
    <t>Fully Diluted Shares Outstanding (mm)</t>
  </si>
  <si>
    <t>Equity Purchase Price</t>
  </si>
  <si>
    <t>Target Pro Forma Net Debt</t>
  </si>
  <si>
    <t>Pro Forma Enterprise Value</t>
  </si>
  <si>
    <t>Pro Forma Enterprise Value Multiples</t>
  </si>
  <si>
    <t>Metric</t>
  </si>
  <si>
    <t>Multiple</t>
  </si>
  <si>
    <t>LTM Sales</t>
  </si>
  <si>
    <t>LTM EBITDA</t>
  </si>
  <si>
    <t>Current Interest Rates</t>
  </si>
  <si>
    <t>3-Month LIBOR</t>
  </si>
  <si>
    <t>10-Year Treasury</t>
  </si>
  <si>
    <t>Interest on Excess Cash</t>
  </si>
  <si>
    <t>Refinance Target Debt</t>
  </si>
  <si>
    <t>Refinance?</t>
  </si>
  <si>
    <t>Minimum Cash / Revolver</t>
  </si>
  <si>
    <t>Minimum Cash Balance</t>
  </si>
  <si>
    <t>Total Bank Commitment</t>
  </si>
  <si>
    <t>Scenario</t>
  </si>
  <si>
    <t>Financing Case</t>
  </si>
  <si>
    <t>Transaction Fees &amp; Expenses Assumptions</t>
  </si>
  <si>
    <t>Fees (%)</t>
  </si>
  <si>
    <t>Computation Metric</t>
  </si>
  <si>
    <t>Fees ($)</t>
  </si>
  <si>
    <t>Notes / Assumptions</t>
  </si>
  <si>
    <t>M&amp;A / Sponsor Fees</t>
  </si>
  <si>
    <t>Bank Fee</t>
  </si>
  <si>
    <t>Expensed as incurred (in current period) in accordance with FAS 141r</t>
  </si>
  <si>
    <t>Sponsor Fee</t>
  </si>
  <si>
    <t>Financing Fees</t>
  </si>
  <si>
    <t>of Total Facility Size (Commitment):</t>
  </si>
  <si>
    <t>Capitalized / amortized over life of financing</t>
  </si>
  <si>
    <t>of Total Principal Amount:</t>
  </si>
  <si>
    <t>Reduction in Gross Proceeds.  Reduction in APIC.</t>
  </si>
  <si>
    <t>Other Miscellaneous Fees</t>
  </si>
  <si>
    <t>Legal</t>
  </si>
  <si>
    <t>Accounting</t>
  </si>
  <si>
    <t>Printing</t>
  </si>
  <si>
    <t>Target's Expenses</t>
  </si>
  <si>
    <t>Revolver</t>
  </si>
  <si>
    <t>Term Loan - A</t>
  </si>
  <si>
    <t>Term Loan - B</t>
  </si>
  <si>
    <t>Senior Note</t>
  </si>
  <si>
    <t>Subordinated Note</t>
  </si>
  <si>
    <t>Mezzanine</t>
  </si>
  <si>
    <t>Seller Note</t>
  </si>
  <si>
    <t>Preferred Stock - A</t>
  </si>
  <si>
    <t>Preferred Stock - B</t>
  </si>
  <si>
    <t>of Transaction Value (excl. Fees &amp; Expenses):</t>
  </si>
  <si>
    <t>Capital Structure Assumptions</t>
  </si>
  <si>
    <t>Active</t>
  </si>
  <si>
    <t>Financing Scenarios</t>
  </si>
  <si>
    <t>Case</t>
  </si>
  <si>
    <t>Description</t>
  </si>
  <si>
    <t>No deal</t>
  </si>
  <si>
    <t>Refi A</t>
  </si>
  <si>
    <t>Refi B</t>
  </si>
  <si>
    <t>LBO A</t>
  </si>
  <si>
    <t>LBO B</t>
  </si>
  <si>
    <t>LBO C</t>
  </si>
  <si>
    <t>Mult. of</t>
  </si>
  <si>
    <t>Sources of Funds</t>
  </si>
  <si>
    <t>Total Sources</t>
  </si>
  <si>
    <t>Excess Cash</t>
  </si>
  <si>
    <t>Debt Assumed</t>
  </si>
  <si>
    <t>Common - Sponsor</t>
  </si>
  <si>
    <t>Management Rollover</t>
  </si>
  <si>
    <t>Investor Rollover</t>
  </si>
  <si>
    <t>Uses of Funds</t>
  </si>
  <si>
    <t>Refinance Debt</t>
  </si>
  <si>
    <t>Tender / Call Premium</t>
  </si>
  <si>
    <t>Expensed Transaction Costs</t>
  </si>
  <si>
    <t>Total Uses</t>
  </si>
  <si>
    <t>LBO?</t>
  </si>
  <si>
    <t>Existing Shareholders</t>
  </si>
  <si>
    <t>Fund Cash Balance</t>
  </si>
  <si>
    <t>Assume Debt</t>
  </si>
  <si>
    <t>Noncontrolling (Minority) Interest</t>
  </si>
  <si>
    <t>Assume Noncontrolling Interest</t>
  </si>
  <si>
    <t>Purchase Noncontrolling Interest</t>
  </si>
  <si>
    <t>Noncontrolling Interest Assumed</t>
  </si>
  <si>
    <t>Sources &amp; Uses of Funds</t>
  </si>
  <si>
    <t>% of</t>
  </si>
  <si>
    <t>Interest</t>
  </si>
  <si>
    <t>$ mm</t>
  </si>
  <si>
    <t>Total</t>
  </si>
  <si>
    <t>Rate</t>
  </si>
  <si>
    <t>Spread</t>
  </si>
  <si>
    <t>Years</t>
  </si>
  <si>
    <t>PIK</t>
  </si>
  <si>
    <t>Debt</t>
  </si>
  <si>
    <t>Preferred</t>
  </si>
  <si>
    <t>Equity</t>
  </si>
  <si>
    <t>Other Uses</t>
  </si>
  <si>
    <t>Fees &amp; Expenses</t>
  </si>
  <si>
    <t>Assume Noncontrolling Int.</t>
  </si>
  <si>
    <t>Purchase Noncontrolling Int.</t>
  </si>
  <si>
    <t>Ending</t>
  </si>
  <si>
    <t>Debt Schedule</t>
  </si>
  <si>
    <t>LIBOR Curve</t>
  </si>
  <si>
    <t>Interest Rate Assumptions</t>
  </si>
  <si>
    <t>Assumed Debt</t>
  </si>
  <si>
    <t>Revolver Undrawn Commitment Fee</t>
  </si>
  <si>
    <t>LIBOR +</t>
  </si>
  <si>
    <t>Average Interest?</t>
  </si>
  <si>
    <t>Debt Amortization Schedule</t>
  </si>
  <si>
    <t>Beginning</t>
  </si>
  <si>
    <t>Scheduled</t>
  </si>
  <si>
    <t>Balance</t>
  </si>
  <si>
    <t>Amort.</t>
  </si>
  <si>
    <t>Prepay?</t>
  </si>
  <si>
    <t>Bullet Year</t>
  </si>
  <si>
    <t>Years PIK</t>
  </si>
  <si>
    <t>Annual</t>
  </si>
  <si>
    <t>Period</t>
  </si>
  <si>
    <t>Expense</t>
  </si>
  <si>
    <t>Amortization of Capitalized Financing Costs</t>
  </si>
  <si>
    <t>Total Annual Amortization</t>
  </si>
  <si>
    <t>Purchase Price Allocation / Goodwill</t>
  </si>
  <si>
    <t>% of Excess PP Allocated to Intangibles</t>
  </si>
  <si>
    <t>Intangibles Amortization Period (yrs)</t>
  </si>
  <si>
    <t>Fixed Asset Write-Up</t>
  </si>
  <si>
    <t>Fixed Asset Depreciation Period (yrs)</t>
  </si>
  <si>
    <t>Tax Rate</t>
  </si>
  <si>
    <t>Deal Structure (0=Stock Deal, 1=Asset Deal)</t>
  </si>
  <si>
    <t>Recap Accounting?</t>
  </si>
  <si>
    <t>Transaction Fees</t>
  </si>
  <si>
    <t>Book Value of Net Assets</t>
  </si>
  <si>
    <t>Excess Purchase Price to Allocate</t>
  </si>
  <si>
    <t>Net Asset Step-Ups:</t>
  </si>
  <si>
    <t>Indentifiable Intangibles Write-Up</t>
  </si>
  <si>
    <t>Write Off Target's Existing Goodwill</t>
  </si>
  <si>
    <t>Write Off Target's Existing DTL</t>
  </si>
  <si>
    <t>DTL from Asset Write-Ups</t>
  </si>
  <si>
    <t>Goodwill Created</t>
  </si>
  <si>
    <t>Tax Schedule</t>
  </si>
  <si>
    <t>Income Tax Rate</t>
  </si>
  <si>
    <t>Book</t>
  </si>
  <si>
    <t>Book Taxable Income</t>
  </si>
  <si>
    <t>+</t>
  </si>
  <si>
    <t>=</t>
  </si>
  <si>
    <t>Income Tax Expense</t>
  </si>
  <si>
    <t>Tax</t>
  </si>
  <si>
    <t>+ Book Amortization of Intangibles</t>
  </si>
  <si>
    <t>+ Book Amortization of Goodwill</t>
  </si>
  <si>
    <t>+ Book Depreciation</t>
  </si>
  <si>
    <t>+ Book (Gain) / Loss on Sale of Assets</t>
  </si>
  <si>
    <t>+ Non-Deductible Expenses</t>
  </si>
  <si>
    <t>- Tax Amortization of Intangibles</t>
  </si>
  <si>
    <t>- Tax Amortization of Goodwill</t>
  </si>
  <si>
    <t>- Tax Depreciation</t>
  </si>
  <si>
    <t>- Tax (Gain) / Loss on Sale of Assets</t>
  </si>
  <si>
    <t>= Pre-NOL Taxable Income</t>
  </si>
  <si>
    <t>Intangibles Amortization</t>
  </si>
  <si>
    <t xml:space="preserve">Book </t>
  </si>
  <si>
    <t xml:space="preserve">Tax </t>
  </si>
  <si>
    <t>Period (yrs)</t>
  </si>
  <si>
    <t>Goodwill Amortization</t>
  </si>
  <si>
    <t>Fixed Asset Depreciation</t>
  </si>
  <si>
    <t>Working Capital Assumptions</t>
  </si>
  <si>
    <t>Sales</t>
  </si>
  <si>
    <t>Non-Cash Current Asset Projections</t>
  </si>
  <si>
    <t>Non-Debt Current Liabilities Projections</t>
  </si>
  <si>
    <t>Net Working Capital</t>
  </si>
  <si>
    <t>Change in Net Working Capital</t>
  </si>
  <si>
    <t>Assumptions</t>
  </si>
  <si>
    <t>Method</t>
  </si>
  <si>
    <t>% of COGS</t>
  </si>
  <si>
    <t>Book Depreciation Schedule</t>
  </si>
  <si>
    <t>Existing Fixed Assets</t>
  </si>
  <si>
    <t>Remain.</t>
  </si>
  <si>
    <t>Salvage</t>
  </si>
  <si>
    <t>Classification</t>
  </si>
  <si>
    <t>Amount</t>
  </si>
  <si>
    <t>Life</t>
  </si>
  <si>
    <t>Value</t>
  </si>
  <si>
    <t>PP&amp;E</t>
  </si>
  <si>
    <t>Class 2</t>
  </si>
  <si>
    <t>Class 3</t>
  </si>
  <si>
    <t>Class 4</t>
  </si>
  <si>
    <t>Depreciation of Existing Fixed Assets</t>
  </si>
  <si>
    <t>Subtotal</t>
  </si>
  <si>
    <t>Capital Expenditures</t>
  </si>
  <si>
    <t>Useful</t>
  </si>
  <si>
    <t>Year</t>
  </si>
  <si>
    <t>CapEx</t>
  </si>
  <si>
    <t>Depreciation of Capital Expenditures</t>
  </si>
  <si>
    <t>Total Computed Depreciation Expense</t>
  </si>
  <si>
    <t>Analyst-Projected (Manual) Depreciation Expense</t>
  </si>
  <si>
    <t>Book Depreciation Expense</t>
  </si>
  <si>
    <t xml:space="preserve"> Manual or Computed</t>
  </si>
  <si>
    <t>0=Manual, 1=Computed</t>
  </si>
  <si>
    <t>Existing Depreciation</t>
  </si>
  <si>
    <t>Depreciation of Fixed Asset Write-Up</t>
  </si>
  <si>
    <t>Existing Amortization</t>
  </si>
  <si>
    <t>New Intangibles Amortization</t>
  </si>
  <si>
    <t>Stock-Based Compensation</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</si>
</sst>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0.0%_);@_)"/>
    <numFmt numFmtId="165" formatCode="0000\P"/>
    <numFmt numFmtId="166" formatCode="0.00%_);\(0.00%\);0.00%_);@_)"/>
    <numFmt numFmtId="167" formatCode="&quot;$&quot;#,##0.00_);\(&quot;$&quot;#,##0.00\);&quot;$&quot;#,##0.00_);@_)"/>
    <numFmt numFmtId="168" formatCode="&quot;$&quot;#,##0.0_);\(&quot;$&quot;#,##0.0\);&quot;$&quot;#,##0.0_);@_)"/>
    <numFmt numFmtId="169" formatCode="0.00\x_);\(0.00\x\);0.00\x_);@_)"/>
    <numFmt numFmtId="170" formatCode="#,##0.0_);\(#,##0.0\);#,##0.0_);@_)"/>
    <numFmt numFmtId="171" formatCode="#,##0.000_);\(#,##0.000\)"/>
    <numFmt numFmtId="172" formatCode="0.0%"/>
    <numFmt numFmtId="173" formatCode="&quot;L + &quot;0_)"/>
    <numFmt numFmtId="174" formatCode="#,##0.0_);\(#,##0.0\)"/>
    <numFmt numFmtId="175" formatCode="0.0\x_);\(0.0\x\);0.0\x_);@_)"/>
    <numFmt numFmtId="176" formatCode="&quot;yes&quot;;&quot;ERROR&quot;;&quot;no&quot;;&quot;ERROR&quot;"/>
    <numFmt numFmtId="177" formatCode="&quot;$&quot;#,##0.0_);\(&quot;$&quot;#,##0.0\)"/>
    <numFmt numFmtId="178" formatCode="&quot;Year &quot;0"/>
    <numFmt numFmtId="179" formatCode="#,##0.000_);\(#,##0.000\);#,##0.000_);@_)"/>
    <numFmt numFmtId="180" formatCode="#,##0.00_);\(#,##0.00\);#,##0.00_);@_)"/>
    <numFmt numFmtId="181" formatCode="0000\A"/>
    <numFmt numFmtId="182" formatCode="0000&quot;E&quot;"/>
    <numFmt numFmtId="183" formatCode="#,##0.0"/>
    <numFmt numFmtId="184" formatCode="#,##0.000000000000000"/>
    <numFmt numFmtId="185" formatCode="m/d/yyyy;@"/>
    <numFmt numFmtId="186" formatCode="&quot;Case &quot;0"/>
    <numFmt numFmtId="187" formatCode="0.000"/>
    <numFmt numFmtId="188" formatCode="0_*&quot;months&quot;"/>
    <numFmt numFmtId="189" formatCode="0_);\(0\)"/>
  </numFmts>
  <fonts count="28">
    <font>
      <sz val="10"/>
      <name val="Arial"/>
      <family val="0"/>
    </font>
    <font>
      <sz val="18"/>
      <color indexed="8"/>
      <name val="Arial"/>
      <family val="2"/>
    </font>
    <font>
      <i/>
      <sz val="9"/>
      <name val="Arial"/>
      <family val="2"/>
    </font>
    <font>
      <b/>
      <sz val="10"/>
      <color indexed="9"/>
      <name val="Arial"/>
      <family val="2"/>
    </font>
    <font>
      <b/>
      <sz val="10"/>
      <name val="Arial"/>
      <family val="2"/>
    </font>
    <font>
      <sz val="10"/>
      <color indexed="12"/>
      <name val="Arial"/>
      <family val="0"/>
    </font>
    <font>
      <i/>
      <sz val="10"/>
      <name val="Arial"/>
      <family val="2"/>
    </font>
    <font>
      <i/>
      <sz val="10"/>
      <color indexed="12"/>
      <name val="Arial"/>
      <family val="2"/>
    </font>
    <font>
      <u val="single"/>
      <sz val="8"/>
      <color indexed="12"/>
      <name val="Arial"/>
      <family val="0"/>
    </font>
    <font>
      <sz val="10"/>
      <name val="MS Sans Serif"/>
      <family val="0"/>
    </font>
    <font>
      <sz val="8"/>
      <color indexed="8"/>
      <name val="Tahoma"/>
      <family val="0"/>
    </font>
    <font>
      <sz val="8"/>
      <name val="Arial"/>
      <family val="0"/>
    </font>
    <font>
      <i/>
      <sz val="16"/>
      <color indexed="8"/>
      <name val="Arial"/>
      <family val="2"/>
    </font>
    <font>
      <b/>
      <sz val="10"/>
      <color indexed="12"/>
      <name val="Arial"/>
      <family val="2"/>
    </font>
    <font>
      <b/>
      <sz val="10"/>
      <color indexed="8"/>
      <name val="Arial"/>
      <family val="2"/>
    </font>
    <font>
      <i/>
      <sz val="10"/>
      <color indexed="8"/>
      <name val="Arial"/>
      <family val="2"/>
    </font>
    <font>
      <i/>
      <sz val="8"/>
      <name val="Arial"/>
      <family val="2"/>
    </font>
    <font>
      <sz val="10"/>
      <color indexed="8"/>
      <name val="Arial"/>
      <family val="0"/>
    </font>
    <font>
      <sz val="10"/>
      <color indexed="10"/>
      <name val="Arial"/>
      <family val="0"/>
    </font>
    <font>
      <b/>
      <u val="single"/>
      <sz val="10"/>
      <name val="Arial"/>
      <family val="2"/>
    </font>
    <font>
      <i/>
      <sz val="10"/>
      <color indexed="17"/>
      <name val="Arial"/>
      <family val="2"/>
    </font>
    <font>
      <b/>
      <sz val="10"/>
      <color indexed="17"/>
      <name val="Arial"/>
      <family val="2"/>
    </font>
    <font>
      <b/>
      <i/>
      <sz val="10"/>
      <name val="Arial"/>
      <family val="2"/>
    </font>
    <font>
      <sz val="8"/>
      <name val="Tahoma"/>
      <family val="2"/>
    </font>
    <font>
      <sz val="10"/>
      <color indexed="17"/>
      <name val="Arial"/>
      <family val="0"/>
    </font>
    <font>
      <sz val="10"/>
      <color indexed="9"/>
      <name val="Arial"/>
      <family val="2"/>
    </font>
    <font>
      <b/>
      <i/>
      <sz val="10"/>
      <color indexed="8"/>
      <name val="Arial"/>
      <family val="2"/>
    </font>
    <font>
      <b/>
      <sz val="8"/>
      <name val="Arial"/>
      <family val="2"/>
    </font>
  </fonts>
  <fills count="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mediu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color indexed="22"/>
      </top>
      <bottom style="double">
        <color indexed="22"/>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212">
    <xf numFmtId="0" fontId="0" fillId="0" borderId="0" xfId="0" applyAlignment="1">
      <alignment/>
    </xf>
    <xf numFmtId="0" fontId="1" fillId="0" borderId="1" xfId="0" applyFont="1" applyBorder="1" applyAlignment="1">
      <alignment/>
    </xf>
    <xf numFmtId="0" fontId="0" fillId="0" borderId="1" xfId="0" applyBorder="1" applyAlignment="1">
      <alignment/>
    </xf>
    <xf numFmtId="0" fontId="2" fillId="0" borderId="0" xfId="0" applyFont="1" applyAlignment="1">
      <alignment/>
    </xf>
    <xf numFmtId="0" fontId="3" fillId="2" borderId="0" xfId="0" applyFont="1" applyFill="1" applyAlignment="1">
      <alignment horizontal="centerContinuous"/>
    </xf>
    <xf numFmtId="0" fontId="0" fillId="0" borderId="0" xfId="0" applyNumberFormat="1" applyFont="1" applyFill="1" applyBorder="1" applyAlignment="1" applyProtection="1">
      <alignment/>
      <protection/>
    </xf>
    <xf numFmtId="0" fontId="0" fillId="0" borderId="0" xfId="0" applyBorder="1" applyAlignment="1">
      <alignment/>
    </xf>
    <xf numFmtId="167" fontId="5" fillId="0" borderId="0" xfId="0" applyNumberFormat="1" applyFont="1" applyAlignment="1">
      <alignment/>
    </xf>
    <xf numFmtId="0" fontId="0" fillId="0" borderId="0" xfId="0" applyFill="1" applyBorder="1" applyAlignment="1">
      <alignment/>
    </xf>
    <xf numFmtId="164" fontId="7" fillId="0" borderId="0" xfId="0" applyNumberFormat="1" applyFont="1" applyBorder="1" applyAlignment="1">
      <alignment/>
    </xf>
    <xf numFmtId="0" fontId="4" fillId="0" borderId="0" xfId="0" applyFont="1" applyAlignment="1">
      <alignment/>
    </xf>
    <xf numFmtId="167" fontId="0" fillId="0" borderId="0" xfId="0" applyNumberFormat="1" applyFont="1" applyAlignment="1">
      <alignment/>
    </xf>
    <xf numFmtId="164" fontId="6" fillId="0" borderId="0" xfId="0" applyNumberFormat="1" applyFont="1" applyBorder="1" applyAlignment="1">
      <alignment/>
    </xf>
    <xf numFmtId="14" fontId="5" fillId="0" borderId="0" xfId="0" applyNumberFormat="1" applyFont="1" applyAlignment="1">
      <alignment/>
    </xf>
    <xf numFmtId="37" fontId="0" fillId="0" borderId="0" xfId="0" applyNumberFormat="1" applyFont="1" applyAlignment="1">
      <alignment/>
    </xf>
    <xf numFmtId="0" fontId="5" fillId="0" borderId="0" xfId="0" applyFont="1" applyAlignment="1">
      <alignment horizontal="right"/>
    </xf>
    <xf numFmtId="14" fontId="0" fillId="0" borderId="0" xfId="0" applyNumberFormat="1" applyFont="1" applyAlignment="1">
      <alignment/>
    </xf>
    <xf numFmtId="18" fontId="0" fillId="0" borderId="0" xfId="20" applyNumberFormat="1" applyFont="1" applyAlignment="1">
      <alignment horizontal="right"/>
      <protection/>
    </xf>
    <xf numFmtId="0" fontId="12" fillId="0" borderId="1" xfId="0" applyFont="1" applyBorder="1" applyAlignment="1">
      <alignment/>
    </xf>
    <xf numFmtId="0" fontId="6" fillId="0" borderId="0" xfId="0" applyFont="1" applyAlignment="1">
      <alignment/>
    </xf>
    <xf numFmtId="0" fontId="4" fillId="0" borderId="2" xfId="0" applyFont="1" applyBorder="1" applyAlignment="1">
      <alignment horizontal="centerContinuous"/>
    </xf>
    <xf numFmtId="0" fontId="0" fillId="0" borderId="2" xfId="0" applyBorder="1" applyAlignment="1">
      <alignment horizontal="centerContinuous"/>
    </xf>
    <xf numFmtId="0" fontId="4" fillId="0" borderId="0" xfId="0" applyFont="1" applyAlignment="1">
      <alignment horizontal="center"/>
    </xf>
    <xf numFmtId="181" fontId="4" fillId="0" borderId="2" xfId="0" applyNumberFormat="1" applyFont="1" applyBorder="1" applyAlignment="1">
      <alignment horizontal="center"/>
    </xf>
    <xf numFmtId="0" fontId="0" fillId="0" borderId="0" xfId="0" applyFont="1" applyAlignment="1">
      <alignment/>
    </xf>
    <xf numFmtId="181" fontId="13" fillId="0" borderId="2" xfId="0" applyNumberFormat="1" applyFont="1" applyBorder="1" applyAlignment="1">
      <alignment horizontal="center"/>
    </xf>
    <xf numFmtId="165" fontId="14" fillId="0" borderId="2" xfId="0" applyNumberFormat="1" applyFont="1" applyBorder="1" applyAlignment="1">
      <alignment horizontal="center"/>
    </xf>
    <xf numFmtId="165" fontId="14" fillId="0" borderId="0" xfId="0" applyNumberFormat="1" applyFont="1" applyBorder="1" applyAlignment="1">
      <alignment horizontal="center"/>
    </xf>
    <xf numFmtId="182" fontId="14" fillId="0" borderId="2" xfId="0" applyNumberFormat="1" applyFont="1" applyBorder="1" applyAlignment="1">
      <alignment horizontal="center"/>
    </xf>
    <xf numFmtId="14" fontId="4" fillId="0" borderId="2" xfId="0" applyNumberFormat="1" applyFont="1" applyBorder="1" applyAlignment="1">
      <alignment horizontal="center"/>
    </xf>
    <xf numFmtId="168" fontId="4" fillId="0" borderId="0" xfId="0" applyNumberFormat="1" applyFont="1" applyAlignment="1">
      <alignment/>
    </xf>
    <xf numFmtId="168" fontId="13" fillId="0" borderId="0" xfId="0" applyNumberFormat="1" applyFont="1" applyAlignment="1">
      <alignment/>
    </xf>
    <xf numFmtId="168" fontId="14" fillId="0" borderId="0" xfId="0" applyNumberFormat="1" applyFont="1" applyAlignment="1">
      <alignment/>
    </xf>
    <xf numFmtId="164" fontId="15" fillId="0" borderId="0" xfId="0" applyNumberFormat="1" applyFont="1" applyAlignment="1">
      <alignment/>
    </xf>
    <xf numFmtId="0" fontId="6" fillId="0" borderId="0" xfId="0" applyFont="1" applyAlignment="1">
      <alignment horizontal="right"/>
    </xf>
    <xf numFmtId="164" fontId="7" fillId="0" borderId="0" xfId="0" applyNumberFormat="1" applyFont="1" applyAlignment="1">
      <alignment/>
    </xf>
    <xf numFmtId="0" fontId="16" fillId="0" borderId="0" xfId="0" applyFont="1" applyAlignment="1">
      <alignment/>
    </xf>
    <xf numFmtId="170" fontId="0" fillId="0" borderId="0" xfId="0" applyNumberFormat="1" applyAlignment="1">
      <alignment/>
    </xf>
    <xf numFmtId="170" fontId="5" fillId="0" borderId="0" xfId="0" applyNumberFormat="1" applyFont="1" applyAlignment="1">
      <alignment/>
    </xf>
    <xf numFmtId="170" fontId="17" fillId="0" borderId="0" xfId="0" applyNumberFormat="1" applyFont="1" applyAlignment="1">
      <alignment/>
    </xf>
    <xf numFmtId="164" fontId="15" fillId="0" borderId="0" xfId="0" applyNumberFormat="1" applyFont="1" applyAlignment="1">
      <alignment horizontal="right"/>
    </xf>
    <xf numFmtId="164" fontId="7" fillId="0" borderId="0" xfId="0" applyNumberFormat="1" applyFont="1" applyAlignment="1">
      <alignment horizontal="right"/>
    </xf>
    <xf numFmtId="168" fontId="17" fillId="0" borderId="3" xfId="0" applyNumberFormat="1" applyFont="1" applyBorder="1" applyAlignment="1">
      <alignment/>
    </xf>
    <xf numFmtId="170" fontId="5" fillId="0" borderId="0" xfId="0" applyNumberFormat="1" applyFont="1" applyFill="1" applyBorder="1" applyAlignment="1">
      <alignment/>
    </xf>
    <xf numFmtId="0" fontId="0" fillId="0" borderId="4" xfId="0" applyBorder="1" applyAlignment="1">
      <alignment/>
    </xf>
    <xf numFmtId="0" fontId="0" fillId="0" borderId="5" xfId="0" applyBorder="1" applyAlignment="1">
      <alignment/>
    </xf>
    <xf numFmtId="0" fontId="4" fillId="0" borderId="0" xfId="0" applyFont="1" applyBorder="1" applyAlignment="1">
      <alignment/>
    </xf>
    <xf numFmtId="168" fontId="14" fillId="0" borderId="0" xfId="0" applyNumberFormat="1" applyFont="1" applyBorder="1" applyAlignment="1">
      <alignment/>
    </xf>
    <xf numFmtId="0" fontId="4" fillId="0" borderId="6" xfId="0" applyFont="1" applyBorder="1" applyAlignment="1">
      <alignment/>
    </xf>
    <xf numFmtId="0" fontId="6" fillId="0" borderId="0" xfId="0" applyFont="1" applyBorder="1" applyAlignment="1">
      <alignment/>
    </xf>
    <xf numFmtId="164" fontId="15" fillId="0" borderId="0" xfId="0" applyNumberFormat="1" applyFont="1" applyBorder="1" applyAlignment="1">
      <alignment horizontal="right"/>
    </xf>
    <xf numFmtId="0" fontId="6" fillId="0" borderId="6" xfId="0" applyFont="1" applyBorder="1" applyAlignment="1">
      <alignment/>
    </xf>
    <xf numFmtId="0" fontId="0" fillId="0" borderId="6" xfId="0" applyBorder="1" applyAlignment="1">
      <alignment/>
    </xf>
    <xf numFmtId="170" fontId="0" fillId="0" borderId="0" xfId="0" applyNumberFormat="1" applyBorder="1" applyAlignment="1">
      <alignment/>
    </xf>
    <xf numFmtId="170" fontId="5" fillId="0" borderId="0" xfId="0" applyNumberFormat="1" applyFont="1" applyBorder="1" applyAlignment="1">
      <alignment/>
    </xf>
    <xf numFmtId="170" fontId="17" fillId="0" borderId="0" xfId="0" applyNumberFormat="1" applyFont="1" applyBorder="1" applyAlignment="1">
      <alignment/>
    </xf>
    <xf numFmtId="170" fontId="0" fillId="0" borderId="6" xfId="0" applyNumberFormat="1" applyBorder="1" applyAlignment="1">
      <alignment/>
    </xf>
    <xf numFmtId="164" fontId="7" fillId="0" borderId="0" xfId="0" applyNumberFormat="1" applyFont="1" applyBorder="1" applyAlignment="1">
      <alignment horizontal="right"/>
    </xf>
    <xf numFmtId="0" fontId="0" fillId="0" borderId="7" xfId="0" applyBorder="1" applyAlignment="1">
      <alignment/>
    </xf>
    <xf numFmtId="0" fontId="0" fillId="0" borderId="8" xfId="0" applyBorder="1" applyAlignment="1">
      <alignment/>
    </xf>
    <xf numFmtId="0" fontId="0" fillId="0" borderId="0" xfId="0" applyNumberFormat="1" applyFont="1" applyFill="1" applyBorder="1" applyAlignment="1">
      <alignment/>
    </xf>
    <xf numFmtId="43" fontId="5" fillId="0" borderId="0" xfId="15" applyFont="1" applyAlignment="1">
      <alignment/>
    </xf>
    <xf numFmtId="43" fontId="17" fillId="0" borderId="0" xfId="15" applyFont="1" applyAlignment="1">
      <alignment/>
    </xf>
    <xf numFmtId="43" fontId="0" fillId="0" borderId="0" xfId="15" applyNumberFormat="1" applyAlignment="1">
      <alignment/>
    </xf>
    <xf numFmtId="170" fontId="5" fillId="0" borderId="0" xfId="15" applyNumberFormat="1" applyFont="1" applyAlignment="1">
      <alignment/>
    </xf>
    <xf numFmtId="43" fontId="0" fillId="0" borderId="0" xfId="15" applyFont="1" applyFill="1" applyBorder="1" applyAlignment="1" applyProtection="1">
      <alignment/>
      <protection/>
    </xf>
    <xf numFmtId="168" fontId="17" fillId="0" borderId="0" xfId="0" applyNumberFormat="1" applyFont="1" applyBorder="1" applyAlignment="1">
      <alignment/>
    </xf>
    <xf numFmtId="164" fontId="6" fillId="0" borderId="0" xfId="0" applyNumberFormat="1" applyFont="1" applyAlignment="1">
      <alignment/>
    </xf>
    <xf numFmtId="0" fontId="4" fillId="0" borderId="9" xfId="0" applyFont="1" applyBorder="1" applyAlignment="1">
      <alignment/>
    </xf>
    <xf numFmtId="167" fontId="14" fillId="0" borderId="9" xfId="0" applyNumberFormat="1" applyFont="1" applyBorder="1" applyAlignment="1">
      <alignment/>
    </xf>
    <xf numFmtId="0" fontId="4" fillId="0" borderId="10" xfId="0" applyFont="1" applyBorder="1" applyAlignment="1">
      <alignment/>
    </xf>
    <xf numFmtId="179" fontId="5" fillId="0" borderId="0" xfId="0" applyNumberFormat="1" applyFont="1" applyAlignment="1">
      <alignment/>
    </xf>
    <xf numFmtId="179" fontId="18" fillId="0" borderId="0" xfId="0" applyNumberFormat="1" applyFont="1" applyAlignment="1">
      <alignment/>
    </xf>
    <xf numFmtId="179" fontId="0" fillId="0" borderId="0" xfId="0" applyNumberFormat="1" applyFont="1" applyAlignment="1">
      <alignment/>
    </xf>
    <xf numFmtId="168" fontId="17" fillId="0" borderId="0" xfId="0" applyNumberFormat="1" applyFont="1" applyAlignment="1">
      <alignment/>
    </xf>
    <xf numFmtId="168" fontId="14" fillId="0" borderId="3" xfId="0" applyNumberFormat="1" applyFont="1" applyBorder="1" applyAlignment="1">
      <alignment/>
    </xf>
    <xf numFmtId="168" fontId="0" fillId="0" borderId="0" xfId="0" applyNumberFormat="1" applyAlignment="1">
      <alignment/>
    </xf>
    <xf numFmtId="168" fontId="5" fillId="0" borderId="0" xfId="0" applyNumberFormat="1" applyFont="1" applyAlignment="1">
      <alignment/>
    </xf>
    <xf numFmtId="177" fontId="17" fillId="0" borderId="3" xfId="0" applyNumberFormat="1" applyFont="1" applyBorder="1" applyAlignment="1">
      <alignment/>
    </xf>
    <xf numFmtId="177" fontId="0" fillId="0" borderId="0" xfId="0" applyNumberFormat="1" applyBorder="1" applyAlignment="1">
      <alignment/>
    </xf>
    <xf numFmtId="0" fontId="0" fillId="0" borderId="0" xfId="0" applyFont="1" applyAlignment="1">
      <alignment horizontal="left"/>
    </xf>
    <xf numFmtId="178" fontId="4" fillId="0" borderId="0" xfId="0" applyNumberFormat="1" applyFont="1" applyAlignment="1">
      <alignment horizontal="center"/>
    </xf>
    <xf numFmtId="0" fontId="14" fillId="0" borderId="2" xfId="0" applyNumberFormat="1" applyFont="1" applyBorder="1" applyAlignment="1">
      <alignment horizontal="center"/>
    </xf>
    <xf numFmtId="0" fontId="19" fillId="0" borderId="0" xfId="0" applyFont="1" applyAlignment="1">
      <alignment/>
    </xf>
    <xf numFmtId="0" fontId="5" fillId="0" borderId="0" xfId="0" applyFont="1" applyAlignment="1">
      <alignment/>
    </xf>
    <xf numFmtId="164" fontId="20" fillId="0" borderId="0" xfId="0" applyNumberFormat="1" applyFont="1" applyAlignment="1">
      <alignment/>
    </xf>
    <xf numFmtId="164" fontId="5" fillId="0" borderId="0" xfId="0" applyNumberFormat="1" applyFont="1" applyAlignment="1">
      <alignment/>
    </xf>
    <xf numFmtId="178" fontId="13" fillId="0" borderId="0" xfId="0" applyNumberFormat="1" applyFont="1" applyBorder="1" applyAlignment="1">
      <alignment horizontal="center"/>
    </xf>
    <xf numFmtId="0" fontId="21" fillId="0" borderId="2" xfId="0" applyNumberFormat="1" applyFont="1" applyBorder="1" applyAlignment="1">
      <alignment horizontal="center"/>
    </xf>
    <xf numFmtId="0" fontId="5" fillId="0" borderId="0" xfId="0" applyFont="1" applyAlignment="1">
      <alignment horizontal="center"/>
    </xf>
    <xf numFmtId="164" fontId="22" fillId="0" borderId="0" xfId="0" applyNumberFormat="1" applyFont="1" applyAlignment="1">
      <alignment/>
    </xf>
    <xf numFmtId="174" fontId="5" fillId="0" borderId="0" xfId="0" applyNumberFormat="1" applyFont="1" applyAlignment="1">
      <alignment/>
    </xf>
    <xf numFmtId="177" fontId="0" fillId="0" borderId="3" xfId="0" applyNumberFormat="1" applyBorder="1" applyAlignment="1">
      <alignment/>
    </xf>
    <xf numFmtId="168" fontId="21" fillId="0" borderId="0" xfId="0" applyNumberFormat="1" applyFont="1" applyAlignment="1">
      <alignment/>
    </xf>
    <xf numFmtId="170" fontId="0" fillId="0" borderId="0" xfId="0" applyNumberFormat="1" applyFont="1" applyAlignment="1">
      <alignment/>
    </xf>
    <xf numFmtId="177" fontId="4" fillId="0" borderId="3" xfId="0" applyNumberFormat="1" applyFont="1" applyBorder="1" applyAlignment="1">
      <alignment/>
    </xf>
    <xf numFmtId="170" fontId="24" fillId="0" borderId="0" xfId="0" applyNumberFormat="1" applyFont="1" applyAlignment="1">
      <alignment/>
    </xf>
    <xf numFmtId="1" fontId="4" fillId="0" borderId="2" xfId="0" applyNumberFormat="1" applyFont="1" applyBorder="1" applyAlignment="1">
      <alignment horizontal="center"/>
    </xf>
    <xf numFmtId="0" fontId="7" fillId="0" borderId="0" xfId="0" applyFont="1" applyAlignment="1">
      <alignment horizontal="right"/>
    </xf>
    <xf numFmtId="185" fontId="4" fillId="0" borderId="2" xfId="0" applyNumberFormat="1" applyFont="1" applyBorder="1" applyAlignment="1">
      <alignment horizontal="center"/>
    </xf>
    <xf numFmtId="0" fontId="14" fillId="0" borderId="2" xfId="0" applyNumberFormat="1" applyFont="1" applyBorder="1" applyAlignment="1">
      <alignment horizontal="centerContinuous"/>
    </xf>
    <xf numFmtId="14" fontId="14" fillId="0" borderId="2" xfId="0" applyNumberFormat="1" applyFont="1" applyBorder="1" applyAlignment="1">
      <alignment horizontal="center"/>
    </xf>
    <xf numFmtId="168" fontId="17" fillId="0" borderId="3" xfId="0" applyNumberFormat="1" applyFont="1" applyFill="1" applyBorder="1" applyAlignment="1">
      <alignment/>
    </xf>
    <xf numFmtId="168" fontId="5" fillId="0" borderId="3" xfId="0" applyNumberFormat="1" applyFont="1" applyBorder="1" applyAlignment="1">
      <alignment/>
    </xf>
    <xf numFmtId="168" fontId="0" fillId="0" borderId="3" xfId="0" applyNumberFormat="1" applyFont="1" applyBorder="1" applyAlignment="1">
      <alignment/>
    </xf>
    <xf numFmtId="174" fontId="17" fillId="0" borderId="0" xfId="0" applyNumberFormat="1" applyFont="1" applyAlignment="1">
      <alignment/>
    </xf>
    <xf numFmtId="168" fontId="14" fillId="0" borderId="11" xfId="0" applyNumberFormat="1" applyFont="1" applyBorder="1" applyAlignment="1">
      <alignment/>
    </xf>
    <xf numFmtId="168" fontId="17" fillId="0" borderId="0" xfId="0" applyNumberFormat="1" applyFont="1" applyAlignment="1">
      <alignment/>
    </xf>
    <xf numFmtId="168" fontId="17" fillId="0" borderId="3" xfId="0" applyNumberFormat="1" applyFont="1" applyBorder="1" applyAlignment="1">
      <alignment/>
    </xf>
    <xf numFmtId="179" fontId="15" fillId="0" borderId="0" xfId="0" applyNumberFormat="1" applyFont="1" applyAlignment="1">
      <alignment/>
    </xf>
    <xf numFmtId="0" fontId="0" fillId="0" borderId="0" xfId="0" applyAlignment="1">
      <alignment horizontal="center"/>
    </xf>
    <xf numFmtId="0" fontId="0" fillId="0" borderId="2" xfId="0" applyBorder="1" applyAlignment="1">
      <alignment horizontal="center"/>
    </xf>
    <xf numFmtId="179" fontId="17" fillId="0" borderId="0" xfId="0" applyNumberFormat="1" applyFont="1" applyAlignment="1">
      <alignment/>
    </xf>
    <xf numFmtId="180" fontId="5" fillId="0" borderId="0" xfId="0" applyNumberFormat="1" applyFont="1" applyAlignment="1">
      <alignment/>
    </xf>
    <xf numFmtId="167" fontId="5" fillId="0" borderId="0" xfId="0" applyNumberFormat="1" applyFont="1" applyFill="1" applyBorder="1" applyAlignment="1">
      <alignment/>
    </xf>
    <xf numFmtId="167" fontId="5" fillId="0" borderId="0" xfId="0" applyNumberFormat="1" applyFont="1" applyAlignment="1">
      <alignment horizontal="right"/>
    </xf>
    <xf numFmtId="164" fontId="5" fillId="0" borderId="0" xfId="0" applyNumberFormat="1" applyFont="1" applyAlignment="1">
      <alignment/>
    </xf>
    <xf numFmtId="179" fontId="0" fillId="0" borderId="0" xfId="0" applyNumberFormat="1" applyAlignment="1">
      <alignment/>
    </xf>
    <xf numFmtId="171" fontId="0" fillId="0" borderId="3" xfId="0" applyNumberFormat="1" applyBorder="1" applyAlignment="1">
      <alignment/>
    </xf>
    <xf numFmtId="170" fontId="0" fillId="0" borderId="0" xfId="0" applyNumberFormat="1" applyFont="1" applyBorder="1" applyAlignment="1">
      <alignment/>
    </xf>
    <xf numFmtId="0" fontId="0" fillId="0" borderId="0" xfId="0" applyAlignment="1">
      <alignment horizontal="left" indent="1"/>
    </xf>
    <xf numFmtId="168" fontId="0" fillId="0" borderId="0" xfId="0" applyNumberFormat="1" applyFont="1" applyAlignment="1">
      <alignment/>
    </xf>
    <xf numFmtId="174" fontId="0" fillId="0" borderId="0" xfId="0" applyNumberFormat="1" applyFont="1" applyAlignment="1">
      <alignment/>
    </xf>
    <xf numFmtId="169" fontId="17" fillId="0" borderId="0" xfId="0" applyNumberFormat="1" applyFont="1" applyBorder="1" applyAlignment="1">
      <alignment/>
    </xf>
    <xf numFmtId="0" fontId="0" fillId="0" borderId="0" xfId="0" applyNumberFormat="1" applyBorder="1" applyAlignment="1">
      <alignment/>
    </xf>
    <xf numFmtId="175" fontId="17" fillId="0" borderId="0" xfId="0" applyNumberFormat="1" applyFont="1" applyBorder="1" applyAlignment="1">
      <alignment/>
    </xf>
    <xf numFmtId="0" fontId="25" fillId="2" borderId="0" xfId="0" applyFont="1" applyFill="1" applyAlignment="1">
      <alignment horizontal="centerContinuous"/>
    </xf>
    <xf numFmtId="166" fontId="7" fillId="0" borderId="0" xfId="0" applyNumberFormat="1" applyFont="1" applyBorder="1" applyAlignment="1">
      <alignment/>
    </xf>
    <xf numFmtId="0" fontId="0" fillId="0" borderId="0" xfId="0" applyAlignment="1">
      <alignment/>
    </xf>
    <xf numFmtId="176" fontId="5" fillId="0" borderId="0" xfId="0" applyNumberFormat="1" applyFont="1" applyBorder="1" applyAlignment="1">
      <alignment horizontal="center"/>
    </xf>
    <xf numFmtId="186" fontId="14" fillId="0" borderId="2" xfId="0" applyNumberFormat="1" applyFont="1" applyBorder="1" applyAlignment="1">
      <alignment horizontal="center"/>
    </xf>
    <xf numFmtId="0" fontId="14" fillId="0" borderId="0" xfId="0" applyNumberFormat="1" applyFont="1" applyBorder="1" applyAlignment="1">
      <alignment horizontal="centerContinuous"/>
    </xf>
    <xf numFmtId="186" fontId="14" fillId="0" borderId="2" xfId="0" applyNumberFormat="1" applyFont="1" applyBorder="1" applyAlignment="1">
      <alignment horizontal="centerContinuous"/>
    </xf>
    <xf numFmtId="0" fontId="14" fillId="0" borderId="0" xfId="0" applyNumberFormat="1" applyFont="1" applyBorder="1" applyAlignment="1">
      <alignment horizontal="left"/>
    </xf>
    <xf numFmtId="166" fontId="7" fillId="0" borderId="0" xfId="0" applyNumberFormat="1" applyFont="1" applyAlignment="1">
      <alignment/>
    </xf>
    <xf numFmtId="166" fontId="0" fillId="0" borderId="0" xfId="0" applyNumberFormat="1" applyFont="1" applyAlignment="1">
      <alignment/>
    </xf>
    <xf numFmtId="168" fontId="0" fillId="0" borderId="0" xfId="0" applyNumberFormat="1" applyFont="1" applyFill="1" applyBorder="1" applyAlignment="1">
      <alignment/>
    </xf>
    <xf numFmtId="187" fontId="0" fillId="0" borderId="0" xfId="0" applyNumberFormat="1" applyAlignment="1">
      <alignment/>
    </xf>
    <xf numFmtId="0" fontId="5" fillId="0" borderId="0" xfId="0" applyNumberFormat="1" applyFont="1" applyAlignment="1">
      <alignment horizontal="center"/>
    </xf>
    <xf numFmtId="0" fontId="17" fillId="0" borderId="0" xfId="0" applyNumberFormat="1" applyFont="1" applyAlignment="1">
      <alignment horizontal="center"/>
    </xf>
    <xf numFmtId="0" fontId="0" fillId="0" borderId="0" xfId="0" applyNumberFormat="1" applyFont="1" applyAlignment="1">
      <alignment horizontal="center"/>
    </xf>
    <xf numFmtId="0" fontId="6" fillId="0" borderId="0" xfId="0" applyFont="1" applyAlignment="1">
      <alignment wrapText="1"/>
    </xf>
    <xf numFmtId="0" fontId="0" fillId="0" borderId="0" xfId="0" applyFont="1" applyAlignment="1">
      <alignment vertical="top"/>
    </xf>
    <xf numFmtId="0" fontId="6" fillId="0" borderId="0" xfId="0" applyFont="1" applyAlignment="1">
      <alignment horizontal="center" vertical="top" wrapText="1"/>
    </xf>
    <xf numFmtId="168" fontId="5" fillId="0" borderId="0" xfId="0" applyNumberFormat="1" applyFont="1" applyFill="1" applyBorder="1" applyAlignment="1">
      <alignment/>
    </xf>
    <xf numFmtId="169" fontId="17" fillId="0" borderId="0" xfId="15" applyNumberFormat="1" applyFont="1" applyAlignment="1">
      <alignment/>
    </xf>
    <xf numFmtId="170" fontId="0" fillId="0" borderId="0" xfId="0" applyNumberFormat="1" applyFont="1" applyFill="1" applyBorder="1" applyAlignment="1">
      <alignment/>
    </xf>
    <xf numFmtId="170" fontId="17" fillId="0" borderId="0" xfId="0" applyNumberFormat="1" applyFont="1" applyFill="1" applyBorder="1" applyAlignment="1">
      <alignment/>
    </xf>
    <xf numFmtId="168" fontId="14" fillId="0" borderId="11" xfId="0" applyNumberFormat="1" applyFont="1" applyBorder="1" applyAlignment="1">
      <alignment/>
    </xf>
    <xf numFmtId="0" fontId="17" fillId="0" borderId="0" xfId="0" applyNumberFormat="1" applyFont="1" applyAlignment="1">
      <alignment/>
    </xf>
    <xf numFmtId="176" fontId="5" fillId="0" borderId="0" xfId="0" applyNumberFormat="1" applyFont="1" applyAlignment="1">
      <alignment horizontal="center"/>
    </xf>
    <xf numFmtId="176" fontId="0" fillId="0" borderId="0" xfId="0" applyNumberFormat="1" applyAlignment="1">
      <alignment/>
    </xf>
    <xf numFmtId="176" fontId="5" fillId="0" borderId="0" xfId="0" applyNumberFormat="1" applyFont="1" applyAlignment="1">
      <alignment horizontal="centerContinuous"/>
    </xf>
    <xf numFmtId="176" fontId="0" fillId="0" borderId="0" xfId="0" applyNumberFormat="1" applyAlignment="1">
      <alignment horizontal="centerContinuous"/>
    </xf>
    <xf numFmtId="176" fontId="17" fillId="0" borderId="0" xfId="0" applyNumberFormat="1" applyFont="1" applyAlignment="1">
      <alignment horizontal="center"/>
    </xf>
    <xf numFmtId="164" fontId="26" fillId="0" borderId="11" xfId="0" applyNumberFormat="1" applyFont="1" applyBorder="1" applyAlignment="1">
      <alignment/>
    </xf>
    <xf numFmtId="169" fontId="14" fillId="0" borderId="11" xfId="0" applyNumberFormat="1" applyFont="1" applyBorder="1" applyAlignment="1">
      <alignment/>
    </xf>
    <xf numFmtId="0" fontId="0" fillId="0" borderId="0" xfId="0" applyNumberFormat="1" applyFont="1" applyFill="1" applyBorder="1" applyAlignment="1" applyProtection="1">
      <alignment horizontal="left" indent="1"/>
      <protection/>
    </xf>
    <xf numFmtId="167" fontId="7" fillId="0" borderId="0" xfId="0" applyNumberFormat="1" applyFont="1" applyAlignment="1">
      <alignment horizontal="right"/>
    </xf>
    <xf numFmtId="166" fontId="6" fillId="0" borderId="0" xfId="0" applyNumberFormat="1" applyFont="1" applyBorder="1" applyAlignment="1">
      <alignment/>
    </xf>
    <xf numFmtId="166" fontId="6" fillId="0" borderId="0" xfId="0" applyNumberFormat="1" applyFont="1" applyAlignment="1">
      <alignment/>
    </xf>
    <xf numFmtId="0" fontId="17" fillId="0" borderId="2" xfId="0" applyNumberFormat="1" applyFont="1" applyBorder="1" applyAlignment="1">
      <alignment horizontal="center"/>
    </xf>
    <xf numFmtId="0" fontId="17" fillId="0" borderId="0" xfId="0" applyNumberFormat="1" applyFont="1" applyBorder="1" applyAlignment="1">
      <alignment horizontal="center"/>
    </xf>
    <xf numFmtId="166" fontId="15" fillId="0" borderId="0" xfId="0" applyNumberFormat="1" applyFont="1" applyAlignment="1">
      <alignment/>
    </xf>
    <xf numFmtId="166" fontId="7" fillId="0" borderId="0" xfId="0" applyNumberFormat="1" applyFont="1" applyFill="1" applyBorder="1" applyAlignment="1">
      <alignment/>
    </xf>
    <xf numFmtId="173" fontId="6" fillId="0" borderId="0" xfId="0" applyNumberFormat="1" applyFont="1" applyAlignment="1">
      <alignment/>
    </xf>
    <xf numFmtId="164" fontId="7" fillId="0" borderId="0" xfId="0" applyNumberFormat="1" applyFont="1" applyFill="1" applyBorder="1" applyAlignment="1">
      <alignment/>
    </xf>
    <xf numFmtId="1" fontId="5" fillId="0" borderId="0" xfId="0" applyNumberFormat="1" applyFont="1" applyBorder="1" applyAlignment="1">
      <alignment horizontal="center"/>
    </xf>
    <xf numFmtId="164" fontId="6" fillId="0" borderId="0" xfId="0" applyNumberFormat="1" applyFont="1" applyFill="1" applyBorder="1" applyAlignment="1">
      <alignment/>
    </xf>
    <xf numFmtId="0" fontId="0" fillId="0" borderId="0" xfId="0" applyFont="1" applyAlignment="1">
      <alignment horizontal="center"/>
    </xf>
    <xf numFmtId="1" fontId="5" fillId="0" borderId="0" xfId="0" applyNumberFormat="1" applyFont="1" applyAlignment="1">
      <alignment horizontal="center"/>
    </xf>
    <xf numFmtId="188" fontId="4" fillId="0" borderId="0" xfId="0" applyNumberFormat="1" applyFont="1" applyAlignment="1">
      <alignment horizontal="center"/>
    </xf>
    <xf numFmtId="170" fontId="0" fillId="0" borderId="0" xfId="0" applyNumberFormat="1" applyAlignment="1">
      <alignment horizontal="right"/>
    </xf>
    <xf numFmtId="0" fontId="14" fillId="0" borderId="0" xfId="0" applyNumberFormat="1" applyFont="1" applyBorder="1" applyAlignment="1">
      <alignment horizontal="center"/>
    </xf>
    <xf numFmtId="1" fontId="4" fillId="0" borderId="0" xfId="0" applyNumberFormat="1" applyFont="1" applyBorder="1" applyAlignment="1">
      <alignment horizontal="center"/>
    </xf>
    <xf numFmtId="176" fontId="0" fillId="0" borderId="0" xfId="0" applyNumberFormat="1" applyAlignment="1">
      <alignment horizontal="center"/>
    </xf>
    <xf numFmtId="168" fontId="0" fillId="0" borderId="0" xfId="0" applyNumberFormat="1" applyFont="1" applyAlignment="1">
      <alignment/>
    </xf>
    <xf numFmtId="0" fontId="0" fillId="0" borderId="0" xfId="0" applyAlignment="1" quotePrefix="1">
      <alignment/>
    </xf>
    <xf numFmtId="0" fontId="0" fillId="0" borderId="0" xfId="0" applyNumberFormat="1" applyFont="1" applyFill="1" applyBorder="1" applyAlignment="1" quotePrefix="1">
      <alignment/>
    </xf>
    <xf numFmtId="0" fontId="0" fillId="0" borderId="0" xfId="0" applyFont="1" applyAlignment="1" quotePrefix="1">
      <alignment/>
    </xf>
    <xf numFmtId="0" fontId="4" fillId="3" borderId="12" xfId="0" applyFont="1" applyFill="1" applyBorder="1" applyAlignment="1">
      <alignment horizontal="centerContinuous"/>
    </xf>
    <xf numFmtId="0" fontId="0" fillId="3" borderId="4" xfId="0" applyFill="1" applyBorder="1" applyAlignment="1">
      <alignment horizontal="centerContinuous"/>
    </xf>
    <xf numFmtId="0" fontId="0" fillId="3" borderId="5" xfId="0" applyFill="1" applyBorder="1" applyAlignment="1">
      <alignment horizontal="centerContinuous"/>
    </xf>
    <xf numFmtId="0" fontId="0" fillId="0" borderId="13" xfId="0" applyFont="1" applyBorder="1" applyAlignment="1">
      <alignment horizontal="centerContinuous"/>
    </xf>
    <xf numFmtId="0" fontId="0" fillId="0" borderId="9" xfId="0" applyBorder="1" applyAlignment="1">
      <alignment horizontal="centerContinuous"/>
    </xf>
    <xf numFmtId="0" fontId="14" fillId="0" borderId="9" xfId="0" applyNumberFormat="1" applyFont="1" applyBorder="1" applyAlignment="1">
      <alignment horizontal="center"/>
    </xf>
    <xf numFmtId="0" fontId="14" fillId="0" borderId="10" xfId="0" applyNumberFormat="1" applyFont="1" applyBorder="1" applyAlignment="1">
      <alignment horizontal="center"/>
    </xf>
    <xf numFmtId="0" fontId="0" fillId="0" borderId="12" xfId="0" applyBorder="1" applyAlignment="1">
      <alignment/>
    </xf>
    <xf numFmtId="170" fontId="17" fillId="0" borderId="4" xfId="0" applyNumberFormat="1" applyFont="1" applyBorder="1" applyAlignment="1">
      <alignment/>
    </xf>
    <xf numFmtId="170" fontId="5" fillId="0" borderId="5" xfId="0" applyNumberFormat="1" applyFont="1" applyBorder="1" applyAlignment="1">
      <alignment/>
    </xf>
    <xf numFmtId="0" fontId="0" fillId="0" borderId="14" xfId="0" applyBorder="1" applyAlignment="1">
      <alignment/>
    </xf>
    <xf numFmtId="168" fontId="17" fillId="0" borderId="7" xfId="0" applyNumberFormat="1" applyFont="1" applyBorder="1" applyAlignment="1">
      <alignment/>
    </xf>
    <xf numFmtId="168" fontId="17" fillId="0" borderId="8" xfId="0" applyNumberFormat="1" applyFont="1" applyBorder="1" applyAlignment="1">
      <alignment/>
    </xf>
    <xf numFmtId="0" fontId="0" fillId="0" borderId="15" xfId="0" applyBorder="1" applyAlignment="1">
      <alignment/>
    </xf>
    <xf numFmtId="0" fontId="5" fillId="0" borderId="0" xfId="0" applyFont="1" applyBorder="1" applyAlignment="1">
      <alignment horizontal="right"/>
    </xf>
    <xf numFmtId="170" fontId="17" fillId="0" borderId="6" xfId="0" applyNumberFormat="1" applyFont="1" applyBorder="1" applyAlignment="1">
      <alignment/>
    </xf>
    <xf numFmtId="168" fontId="5" fillId="0" borderId="7" xfId="0" applyNumberFormat="1" applyFont="1" applyBorder="1" applyAlignment="1">
      <alignment horizontal="right"/>
    </xf>
    <xf numFmtId="0" fontId="18" fillId="0" borderId="0" xfId="0" applyFont="1" applyAlignment="1">
      <alignment/>
    </xf>
    <xf numFmtId="0" fontId="5" fillId="4" borderId="0" xfId="0" applyFont="1" applyFill="1" applyAlignment="1">
      <alignment/>
    </xf>
    <xf numFmtId="170" fontId="5" fillId="0" borderId="0" xfId="0" applyNumberFormat="1" applyFont="1" applyBorder="1" applyAlignment="1">
      <alignment/>
    </xf>
    <xf numFmtId="189" fontId="0" fillId="0" borderId="0" xfId="0" applyNumberFormat="1" applyAlignment="1">
      <alignment/>
    </xf>
    <xf numFmtId="168" fontId="24" fillId="0" borderId="0" xfId="0" applyNumberFormat="1" applyFont="1" applyAlignment="1">
      <alignment/>
    </xf>
    <xf numFmtId="170" fontId="24" fillId="0" borderId="0" xfId="0" applyNumberFormat="1" applyFont="1" applyFill="1" applyBorder="1" applyAlignment="1">
      <alignment/>
    </xf>
    <xf numFmtId="0" fontId="0" fillId="3" borderId="0" xfId="0" applyFill="1" applyAlignment="1">
      <alignment/>
    </xf>
    <xf numFmtId="0" fontId="4" fillId="3" borderId="0" xfId="0" applyFont="1" applyFill="1" applyBorder="1" applyAlignment="1">
      <alignment horizontal="centerContinuous"/>
    </xf>
    <xf numFmtId="0" fontId="4" fillId="3" borderId="7" xfId="0" applyFont="1" applyFill="1" applyBorder="1" applyAlignment="1">
      <alignment horizontal="centerContinuous"/>
    </xf>
    <xf numFmtId="0" fontId="0" fillId="3" borderId="7" xfId="0" applyFill="1" applyBorder="1" applyAlignment="1">
      <alignment horizontal="centerContinuous"/>
    </xf>
    <xf numFmtId="0" fontId="0" fillId="3" borderId="8" xfId="0" applyFill="1" applyBorder="1" applyAlignment="1">
      <alignment horizontal="centerContinuous"/>
    </xf>
    <xf numFmtId="0" fontId="0" fillId="0" borderId="10" xfId="0" applyBorder="1" applyAlignment="1">
      <alignment horizontal="centerContinuous"/>
    </xf>
    <xf numFmtId="0" fontId="13" fillId="0" borderId="9" xfId="0" applyFont="1" applyBorder="1" applyAlignment="1">
      <alignment horizontal="centerContinuous"/>
    </xf>
    <xf numFmtId="0" fontId="4" fillId="0" borderId="10" xfId="0" applyFont="1" applyBorder="1" applyAlignment="1">
      <alignment horizontal="centerContinuous"/>
    </xf>
    <xf numFmtId="0" fontId="4" fillId="0" borderId="9" xfId="0" applyFont="1" applyBorder="1" applyAlignment="1">
      <alignment horizontal="centerContinuous"/>
    </xf>
  </cellXfs>
  <cellStyles count="8">
    <cellStyle name="Normal" xfId="0"/>
    <cellStyle name="Comma" xfId="15"/>
    <cellStyle name="Comma [0]" xfId="16"/>
    <cellStyle name="Currency" xfId="17"/>
    <cellStyle name="Currency [0]" xfId="18"/>
    <cellStyle name="Hyperlink" xfId="19"/>
    <cellStyle name="Normal_Seevers_Clean Stub Long Form Model2" xfId="20"/>
    <cellStyle name="Percent" xfId="21"/>
  </cellStyles>
  <dxfs count="1">
    <dxf>
      <font>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373"/>
  <sheetViews>
    <sheetView showGridLines="0" tabSelected="1" zoomScale="80" zoomScaleNormal="80" workbookViewId="0" topLeftCell="A43">
      <selection activeCell="A44" sqref="A44"/>
    </sheetView>
  </sheetViews>
  <sheetFormatPr defaultColWidth="9.140625" defaultRowHeight="12.75"/>
  <cols>
    <col min="1" max="2" width="1.7109375" style="0" customWidth="1"/>
    <col min="3" max="5" width="9.7109375" style="0" customWidth="1"/>
    <col min="6" max="6" width="1.7109375" style="0" customWidth="1"/>
    <col min="7" max="7" width="9.7109375" style="0" customWidth="1"/>
    <col min="8" max="8" width="1.7109375" style="0" customWidth="1"/>
    <col min="9" max="9" width="9.7109375" style="0" customWidth="1"/>
    <col min="10" max="10" width="1.7109375" style="0" customWidth="1"/>
    <col min="11" max="11" width="9.7109375" style="0" customWidth="1"/>
    <col min="12" max="12" width="1.7109375" style="0" customWidth="1"/>
    <col min="13" max="13" width="9.7109375" style="0" customWidth="1"/>
    <col min="14" max="14" width="1.7109375" style="0" customWidth="1"/>
    <col min="15" max="15" width="9.7109375" style="0" customWidth="1"/>
    <col min="16" max="16" width="1.7109375" style="0" customWidth="1"/>
    <col min="17" max="17" width="9.7109375" style="0" customWidth="1"/>
    <col min="18" max="18" width="1.7109375" style="0" customWidth="1"/>
    <col min="19" max="19" width="9.7109375" style="0" customWidth="1"/>
    <col min="20" max="20" width="1.7109375" style="0" customWidth="1"/>
    <col min="21" max="21" width="9.7109375" style="0" customWidth="1"/>
    <col min="22" max="22" width="1.7109375" style="0" customWidth="1"/>
    <col min="23" max="23" width="9.7109375" style="0" customWidth="1"/>
    <col min="24" max="24" width="1.7109375" style="0" customWidth="1"/>
    <col min="25" max="25" width="9.7109375" style="0" customWidth="1"/>
    <col min="26" max="26" width="1.7109375" style="0" customWidth="1"/>
    <col min="27" max="27" width="9.7109375" style="0" customWidth="1"/>
    <col min="28" max="28" width="1.7109375" style="0" customWidth="1"/>
    <col min="29" max="29" width="9.7109375" style="0" customWidth="1"/>
    <col min="30" max="30" width="1.7109375" style="0" customWidth="1"/>
    <col min="32" max="32" width="1.7109375" style="0" customWidth="1"/>
    <col min="34" max="34" width="1.7109375" style="0" customWidth="1"/>
    <col min="36" max="36" width="1.7109375" style="0" customWidth="1"/>
    <col min="37" max="37" width="9.7109375" style="0" customWidth="1"/>
    <col min="38" max="38" width="1.7109375" style="0" customWidth="1"/>
    <col min="39" max="39" width="9.7109375" style="0" customWidth="1"/>
    <col min="40" max="40" width="1.7109375" style="0" customWidth="1"/>
    <col min="42" max="42" width="1.7109375" style="0" customWidth="1"/>
  </cols>
  <sheetData>
    <row r="1" spans="1:35" ht="24" customHeight="1" thickBot="1">
      <c r="A1" s="1" t="str">
        <f>AI30&amp;" LBO Valuation"</f>
        <v>TargetCo LBO Valuation</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43" ht="13.5" thickBot="1">
      <c r="A2" s="3" t="s">
        <v>0</v>
      </c>
      <c r="AK2" s="20" t="s">
        <v>112</v>
      </c>
      <c r="AL2" s="21"/>
      <c r="AM2" s="20"/>
      <c r="AN2" s="21"/>
      <c r="AO2" s="21"/>
      <c r="AP2" s="21"/>
      <c r="AQ2" s="21"/>
    </row>
    <row r="3" spans="39:43" ht="12.75">
      <c r="AM3" s="110" t="s">
        <v>113</v>
      </c>
      <c r="AO3" s="110" t="s">
        <v>114</v>
      </c>
      <c r="AQ3" s="110" t="s">
        <v>115</v>
      </c>
    </row>
    <row r="4" spans="1:43" ht="13.5" customHeight="1" thickBot="1">
      <c r="A4" s="4" t="s">
        <v>224</v>
      </c>
      <c r="B4" s="4"/>
      <c r="C4" s="4"/>
      <c r="D4" s="4"/>
      <c r="E4" s="4"/>
      <c r="F4" s="4"/>
      <c r="G4" s="4"/>
      <c r="H4" s="4"/>
      <c r="I4" s="4"/>
      <c r="J4" s="4"/>
      <c r="K4" s="4"/>
      <c r="L4" s="4"/>
      <c r="M4" s="4"/>
      <c r="N4" s="4"/>
      <c r="O4" s="4"/>
      <c r="P4" s="4"/>
      <c r="Q4" s="4"/>
      <c r="S4" s="4" t="s">
        <v>1</v>
      </c>
      <c r="T4" s="4"/>
      <c r="U4" s="4"/>
      <c r="V4" s="4"/>
      <c r="W4" s="4"/>
      <c r="X4" s="4"/>
      <c r="Y4" s="4"/>
      <c r="AA4" s="4" t="s">
        <v>261</v>
      </c>
      <c r="AB4" s="4"/>
      <c r="AC4" s="4"/>
      <c r="AD4" s="4"/>
      <c r="AE4" s="4"/>
      <c r="AF4" s="4"/>
      <c r="AG4" s="4"/>
      <c r="AH4" s="4"/>
      <c r="AI4" s="4"/>
      <c r="AK4" s="5"/>
      <c r="AL4" s="5"/>
      <c r="AM4" s="111" t="s">
        <v>116</v>
      </c>
      <c r="AN4" s="5"/>
      <c r="AO4" s="111" t="s">
        <v>117</v>
      </c>
      <c r="AP4" s="5"/>
      <c r="AQ4" s="111" t="s">
        <v>118</v>
      </c>
    </row>
    <row r="5" spans="37:43" ht="12.75">
      <c r="AK5" t="s">
        <v>119</v>
      </c>
      <c r="AM5" s="71">
        <v>0.209</v>
      </c>
      <c r="AO5" s="7">
        <v>9.04</v>
      </c>
      <c r="AQ5" s="112">
        <f aca="true" t="shared" si="0" ref="AQ5:AQ14">IF(AO5&gt;trans_price,0,AM5-AM5*AO5/trans_price)</f>
        <v>0.09100718188914911</v>
      </c>
    </row>
    <row r="6" spans="9:43" ht="12.75" customHeight="1">
      <c r="I6" s="22" t="s">
        <v>225</v>
      </c>
      <c r="K6" s="22" t="s">
        <v>203</v>
      </c>
      <c r="M6" s="22" t="s">
        <v>226</v>
      </c>
      <c r="Q6" s="22" t="s">
        <v>231</v>
      </c>
      <c r="S6" t="s">
        <v>2</v>
      </c>
      <c r="Y6" s="7">
        <v>12.81</v>
      </c>
      <c r="AA6" t="s">
        <v>262</v>
      </c>
      <c r="AI6" s="9">
        <v>0.25</v>
      </c>
      <c r="AK6" t="s">
        <v>120</v>
      </c>
      <c r="AM6" s="71">
        <v>0.059</v>
      </c>
      <c r="AO6" s="113">
        <v>10.03</v>
      </c>
      <c r="AQ6" s="112">
        <f t="shared" si="0"/>
        <v>0.022043247462919593</v>
      </c>
    </row>
    <row r="7" spans="7:43" s="6" customFormat="1" ht="13.5" customHeight="1" thickBot="1">
      <c r="G7" s="26" t="s">
        <v>227</v>
      </c>
      <c r="H7" s="5"/>
      <c r="I7" s="26" t="s">
        <v>228</v>
      </c>
      <c r="J7" s="5"/>
      <c r="K7" s="26" t="s">
        <v>30</v>
      </c>
      <c r="L7" s="5"/>
      <c r="M7" s="26" t="s">
        <v>229</v>
      </c>
      <c r="N7" s="5"/>
      <c r="O7" s="26" t="s">
        <v>230</v>
      </c>
      <c r="P7" s="5"/>
      <c r="Q7" s="26" t="s">
        <v>232</v>
      </c>
      <c r="S7" t="s">
        <v>3</v>
      </c>
      <c r="T7"/>
      <c r="U7"/>
      <c r="V7"/>
      <c r="W7"/>
      <c r="X7"/>
      <c r="Y7" s="9">
        <v>0.25</v>
      </c>
      <c r="AA7" t="s">
        <v>263</v>
      </c>
      <c r="AB7"/>
      <c r="AC7"/>
      <c r="AD7"/>
      <c r="AE7"/>
      <c r="AF7"/>
      <c r="AG7"/>
      <c r="AH7"/>
      <c r="AI7" s="54">
        <v>5</v>
      </c>
      <c r="AK7" t="s">
        <v>121</v>
      </c>
      <c r="AL7"/>
      <c r="AM7" s="71">
        <v>0.221</v>
      </c>
      <c r="AN7"/>
      <c r="AO7" s="113">
        <v>11.53</v>
      </c>
      <c r="AP7"/>
      <c r="AQ7" s="112">
        <f t="shared" si="0"/>
        <v>0.06186619828259171</v>
      </c>
    </row>
    <row r="8" spans="1:43" ht="13.5" customHeight="1">
      <c r="A8" s="83" t="s">
        <v>204</v>
      </c>
      <c r="B8" s="83"/>
      <c r="S8" s="157" t="s">
        <v>4</v>
      </c>
      <c r="U8" s="5"/>
      <c r="V8" s="5"/>
      <c r="W8" s="5"/>
      <c r="X8" s="5"/>
      <c r="Y8" s="11">
        <f>Y6*(1+Y7)</f>
        <v>16.0125</v>
      </c>
      <c r="AA8" t="s">
        <v>264</v>
      </c>
      <c r="AI8" s="77">
        <v>15</v>
      </c>
      <c r="AK8" t="s">
        <v>122</v>
      </c>
      <c r="AM8" s="71">
        <v>0.3</v>
      </c>
      <c r="AO8" s="113">
        <v>12.69</v>
      </c>
      <c r="AQ8" s="112">
        <f t="shared" si="0"/>
        <v>0.062248243559718974</v>
      </c>
    </row>
    <row r="9" spans="2:43" ht="12.75">
      <c r="B9" t="s">
        <v>206</v>
      </c>
      <c r="G9" s="76">
        <f>S303</f>
        <v>116.606</v>
      </c>
      <c r="I9" s="33">
        <f>G9/$G$28</f>
        <v>0.14303229720995186</v>
      </c>
      <c r="K9" s="145">
        <f>G9/ltm_ebitda</f>
        <v>0.9668822553897183</v>
      </c>
      <c r="M9" s="160">
        <f>Q28</f>
        <v>0.02</v>
      </c>
      <c r="AA9" t="s">
        <v>265</v>
      </c>
      <c r="AI9" s="54">
        <v>8</v>
      </c>
      <c r="AK9" t="s">
        <v>123</v>
      </c>
      <c r="AM9" s="71">
        <v>0.269</v>
      </c>
      <c r="AO9" s="113">
        <v>19.54</v>
      </c>
      <c r="AQ9" s="112">
        <f t="shared" si="0"/>
        <v>0</v>
      </c>
    </row>
    <row r="10" spans="2:43" s="10" customFormat="1" ht="13.5" customHeight="1">
      <c r="B10" s="5" t="s">
        <v>207</v>
      </c>
      <c r="G10" s="119">
        <f>S304</f>
        <v>230</v>
      </c>
      <c r="I10" s="33">
        <f>G10/$G$28</f>
        <v>0.2821246621810964</v>
      </c>
      <c r="K10" s="145">
        <f>G10/ltm_ebitda</f>
        <v>1.9071310116086242</v>
      </c>
      <c r="M10" s="160">
        <f>AO21</f>
        <v>0.025</v>
      </c>
      <c r="Q10" s="169">
        <f>M170</f>
        <v>0</v>
      </c>
      <c r="S10" s="24" t="s">
        <v>143</v>
      </c>
      <c r="Y10" s="117">
        <f>AQ27</f>
        <v>35.15916487119438</v>
      </c>
      <c r="AK10" t="s">
        <v>124</v>
      </c>
      <c r="AL10"/>
      <c r="AM10" s="71">
        <v>0.211</v>
      </c>
      <c r="AN10"/>
      <c r="AO10" s="113">
        <v>27.06</v>
      </c>
      <c r="AP10"/>
      <c r="AQ10" s="112">
        <f t="shared" si="0"/>
        <v>0</v>
      </c>
    </row>
    <row r="11" spans="2:43" ht="12.75" customHeight="1">
      <c r="B11" t="s">
        <v>223</v>
      </c>
      <c r="G11" s="119">
        <f>S305</f>
        <v>0</v>
      </c>
      <c r="I11" s="33">
        <f>G11/$G$28</f>
        <v>0</v>
      </c>
      <c r="K11" s="145">
        <f>G11/ltm_ebitda</f>
        <v>0</v>
      </c>
      <c r="M11" s="158"/>
      <c r="S11" s="24" t="s">
        <v>144</v>
      </c>
      <c r="Y11" s="121">
        <f>Y10*Y8</f>
        <v>562.9861275</v>
      </c>
      <c r="AA11" s="24" t="s">
        <v>266</v>
      </c>
      <c r="AB11" s="10"/>
      <c r="AC11" s="10"/>
      <c r="AD11" s="10"/>
      <c r="AE11" s="10"/>
      <c r="AF11" s="10"/>
      <c r="AG11" s="10"/>
      <c r="AH11" s="10"/>
      <c r="AI11" s="9">
        <v>0.35</v>
      </c>
      <c r="AK11" t="s">
        <v>125</v>
      </c>
      <c r="AM11" s="71">
        <v>0.187</v>
      </c>
      <c r="AO11" s="113">
        <v>45.75</v>
      </c>
      <c r="AQ11" s="112">
        <f t="shared" si="0"/>
        <v>0</v>
      </c>
    </row>
    <row r="12" spans="2:43" ht="12.75" customHeight="1" thickBot="1">
      <c r="B12" t="s">
        <v>233</v>
      </c>
      <c r="I12" s="19"/>
      <c r="S12" s="6" t="s">
        <v>145</v>
      </c>
      <c r="Y12" s="122">
        <f>AQ34</f>
        <v>83.394</v>
      </c>
      <c r="AA12" s="24" t="s">
        <v>267</v>
      </c>
      <c r="AI12" s="89">
        <v>0</v>
      </c>
      <c r="AK12" t="s">
        <v>126</v>
      </c>
      <c r="AM12" s="71">
        <v>0</v>
      </c>
      <c r="AO12" s="113">
        <v>0</v>
      </c>
      <c r="AQ12" s="112">
        <f t="shared" si="0"/>
        <v>0</v>
      </c>
    </row>
    <row r="13" spans="3:43" ht="13.5" customHeight="1" thickBot="1">
      <c r="C13" t="str">
        <f>B306</f>
        <v>Revolver</v>
      </c>
      <c r="G13" s="37">
        <f>S306</f>
        <v>0</v>
      </c>
      <c r="I13" s="33">
        <f>G13/$G$28</f>
        <v>0</v>
      </c>
      <c r="K13" s="145">
        <f aca="true" t="shared" si="1" ref="K13:K19">G13/ltm_ebitda</f>
        <v>0</v>
      </c>
      <c r="M13" s="160">
        <f>libor+O13/10000</f>
        <v>0.0703</v>
      </c>
      <c r="O13" s="165">
        <f>M155*10000</f>
        <v>425.00000000000006</v>
      </c>
      <c r="S13" s="157" t="s">
        <v>146</v>
      </c>
      <c r="Y13" s="106">
        <f>SUM(Y11:Y12)</f>
        <v>646.3801275</v>
      </c>
      <c r="AK13" t="s">
        <v>127</v>
      </c>
      <c r="AM13" s="71">
        <v>0</v>
      </c>
      <c r="AO13" s="113">
        <v>0</v>
      </c>
      <c r="AQ13" s="112">
        <f t="shared" si="0"/>
        <v>0</v>
      </c>
    </row>
    <row r="14" spans="3:43" ht="13.5" customHeight="1" thickTop="1">
      <c r="C14" t="str">
        <f aca="true" t="shared" si="2" ref="C14:C19">B307</f>
        <v>Term Loan - A</v>
      </c>
      <c r="G14" s="37">
        <f aca="true" t="shared" si="3" ref="G14:G19">S307</f>
        <v>150</v>
      </c>
      <c r="I14" s="33">
        <f>G14/$G$28</f>
        <v>0.18399434490071506</v>
      </c>
      <c r="K14" s="145">
        <f t="shared" si="1"/>
        <v>1.2437810945273635</v>
      </c>
      <c r="M14" s="160">
        <f>libor+O14/10000</f>
        <v>0.07569999999999999</v>
      </c>
      <c r="O14" s="165">
        <f>M156*10000</f>
        <v>479</v>
      </c>
      <c r="Q14" s="169">
        <f aca="true" t="shared" si="4" ref="Q14:Q19">M171</f>
        <v>0</v>
      </c>
      <c r="AA14" t="s">
        <v>268</v>
      </c>
      <c r="AI14" s="175">
        <f>1-LBO</f>
        <v>0</v>
      </c>
      <c r="AK14" s="5" t="s">
        <v>128</v>
      </c>
      <c r="AL14" s="5"/>
      <c r="AM14" s="71">
        <v>0</v>
      </c>
      <c r="AN14" s="5"/>
      <c r="AO14" s="113">
        <v>0</v>
      </c>
      <c r="AP14" s="5"/>
      <c r="AQ14" s="112">
        <f t="shared" si="0"/>
        <v>0</v>
      </c>
    </row>
    <row r="15" spans="3:43" ht="13.5" customHeight="1" thickBot="1">
      <c r="C15" t="str">
        <f t="shared" si="2"/>
        <v>Term Loan - B</v>
      </c>
      <c r="G15" s="37">
        <f t="shared" si="3"/>
        <v>0</v>
      </c>
      <c r="I15" s="33">
        <f>G15/$G$28</f>
        <v>0</v>
      </c>
      <c r="K15" s="145">
        <f t="shared" si="1"/>
        <v>0</v>
      </c>
      <c r="M15" s="160">
        <f>libor+O15/10000</f>
        <v>0.08779999999999999</v>
      </c>
      <c r="O15" s="165">
        <f>M157*10000</f>
        <v>600</v>
      </c>
      <c r="Q15" s="169">
        <f t="shared" si="4"/>
        <v>0</v>
      </c>
      <c r="S15" s="20" t="s">
        <v>147</v>
      </c>
      <c r="T15" s="21"/>
      <c r="U15" s="20"/>
      <c r="V15" s="21"/>
      <c r="W15" s="21"/>
      <c r="X15" s="21"/>
      <c r="Y15" s="21"/>
      <c r="AC15" s="10"/>
      <c r="AD15" s="10"/>
      <c r="AE15" s="10"/>
      <c r="AF15" s="10"/>
      <c r="AG15" s="10"/>
      <c r="AH15" s="10"/>
      <c r="AI15" s="10"/>
      <c r="AP15" s="10"/>
      <c r="AQ15" s="10"/>
    </row>
    <row r="16" spans="3:43" ht="13.5" customHeight="1" thickBot="1">
      <c r="C16" t="str">
        <f t="shared" si="2"/>
        <v>Senior Note</v>
      </c>
      <c r="G16" s="37">
        <f t="shared" si="3"/>
        <v>75</v>
      </c>
      <c r="I16" s="33">
        <f aca="true" t="shared" si="5" ref="I16:I27">G16/$G$28</f>
        <v>0.09199717245035753</v>
      </c>
      <c r="K16" s="145">
        <f t="shared" si="1"/>
        <v>0.6218905472636818</v>
      </c>
      <c r="M16" s="160">
        <f>libor+O16/10000</f>
        <v>0.0928</v>
      </c>
      <c r="O16" s="165">
        <f>M158*10000</f>
        <v>650</v>
      </c>
      <c r="Q16" s="169">
        <f t="shared" si="4"/>
        <v>0</v>
      </c>
      <c r="W16" s="26" t="s">
        <v>148</v>
      </c>
      <c r="Y16" s="26" t="s">
        <v>149</v>
      </c>
      <c r="AA16" t="s">
        <v>144</v>
      </c>
      <c r="AC16" s="10"/>
      <c r="AD16" s="10"/>
      <c r="AE16" s="10"/>
      <c r="AF16" s="10"/>
      <c r="AG16" s="10"/>
      <c r="AH16" s="10"/>
      <c r="AI16" s="176">
        <f>Y11</f>
        <v>562.9861275</v>
      </c>
      <c r="AK16" s="20" t="s">
        <v>129</v>
      </c>
      <c r="AL16" s="21"/>
      <c r="AM16" s="20"/>
      <c r="AN16" s="21"/>
      <c r="AO16" s="21"/>
      <c r="AP16" s="21"/>
      <c r="AQ16" s="21"/>
    </row>
    <row r="17" spans="3:43" ht="13.5" customHeight="1" thickBot="1">
      <c r="C17" t="str">
        <f t="shared" si="2"/>
        <v>Subordinated Note</v>
      </c>
      <c r="G17" s="37">
        <f t="shared" si="3"/>
        <v>0</v>
      </c>
      <c r="I17" s="33">
        <f t="shared" si="5"/>
        <v>0</v>
      </c>
      <c r="K17" s="145">
        <f t="shared" si="1"/>
        <v>0</v>
      </c>
      <c r="M17" s="160">
        <f>O159</f>
        <v>0.1025</v>
      </c>
      <c r="Q17" s="169">
        <f t="shared" si="4"/>
        <v>5</v>
      </c>
      <c r="S17" t="s">
        <v>150</v>
      </c>
      <c r="W17" s="121">
        <f>M50</f>
        <v>420.4</v>
      </c>
      <c r="Y17" s="123">
        <f>$Y$13/W17</f>
        <v>1.53753598358706</v>
      </c>
      <c r="AA17" t="s">
        <v>269</v>
      </c>
      <c r="AC17" s="10"/>
      <c r="AD17" s="10"/>
      <c r="AE17" s="10"/>
      <c r="AF17" s="10"/>
      <c r="AG17" s="10"/>
      <c r="AH17" s="10"/>
      <c r="AI17" s="54">
        <v>0</v>
      </c>
      <c r="AO17" s="111" t="s">
        <v>130</v>
      </c>
      <c r="AQ17" s="111" t="s">
        <v>131</v>
      </c>
    </row>
    <row r="18" spans="3:43" ht="13.5" customHeight="1" thickBot="1">
      <c r="C18" t="str">
        <f t="shared" si="2"/>
        <v>Mezzanine</v>
      </c>
      <c r="G18" s="37">
        <f t="shared" si="3"/>
        <v>0</v>
      </c>
      <c r="I18" s="33">
        <f t="shared" si="5"/>
        <v>0</v>
      </c>
      <c r="K18" s="145">
        <f t="shared" si="1"/>
        <v>0</v>
      </c>
      <c r="M18" s="160">
        <f>O160</f>
        <v>0.105</v>
      </c>
      <c r="Q18" s="169">
        <f t="shared" si="4"/>
        <v>0</v>
      </c>
      <c r="S18" s="124" t="str">
        <f>"FY "&amp;Q48&amp;" PF Sales"</f>
        <v>FY 2008 PF Sales</v>
      </c>
      <c r="W18" s="122">
        <f>Q50</f>
        <v>458.09999999999997</v>
      </c>
      <c r="Y18" s="123">
        <f>$Y$13/W18</f>
        <v>1.4110022429600524</v>
      </c>
      <c r="AA18" t="s">
        <v>270</v>
      </c>
      <c r="AI18" s="122">
        <f>-I129*LBO</f>
        <v>-97.8530000000001</v>
      </c>
      <c r="AK18" t="s">
        <v>132</v>
      </c>
      <c r="AL18" s="10"/>
      <c r="AM18" s="10"/>
      <c r="AN18" s="10"/>
      <c r="AO18" s="77">
        <v>230</v>
      </c>
      <c r="AQ18" s="77">
        <v>0</v>
      </c>
    </row>
    <row r="19" spans="3:43" ht="13.5" customHeight="1">
      <c r="C19" t="str">
        <f t="shared" si="2"/>
        <v>Seller Note</v>
      </c>
      <c r="G19" s="37">
        <f t="shared" si="3"/>
        <v>0</v>
      </c>
      <c r="I19" s="33">
        <f t="shared" si="5"/>
        <v>0</v>
      </c>
      <c r="K19" s="145">
        <f t="shared" si="1"/>
        <v>0</v>
      </c>
      <c r="M19" s="160">
        <f>O161</f>
        <v>0.105</v>
      </c>
      <c r="Q19" s="169">
        <f t="shared" si="4"/>
        <v>2</v>
      </c>
      <c r="S19" s="124" t="str">
        <f>"FY "&amp;S48&amp;" PF Sales"</f>
        <v>FY 2009 PF Sales</v>
      </c>
      <c r="W19" s="122">
        <f>S50</f>
        <v>467.99999999999994</v>
      </c>
      <c r="Y19" s="123">
        <f>$Y$13/W19</f>
        <v>1.3811541185897436</v>
      </c>
      <c r="AA19" s="120" t="s">
        <v>271</v>
      </c>
      <c r="AI19" s="92">
        <f>SUM(AI16:AI18)</f>
        <v>465.1331274999999</v>
      </c>
      <c r="AK19" t="s">
        <v>133</v>
      </c>
      <c r="AO19" s="114">
        <v>26.77</v>
      </c>
      <c r="AQ19" s="115" t="s">
        <v>24</v>
      </c>
    </row>
    <row r="20" spans="2:43" ht="13.5" customHeight="1">
      <c r="B20" t="s">
        <v>234</v>
      </c>
      <c r="I20" s="19"/>
      <c r="AA20" t="s">
        <v>272</v>
      </c>
      <c r="AK20" t="s">
        <v>134</v>
      </c>
      <c r="AO20" s="112">
        <f>IF(ISERROR(AO18/AO19),0,AO18/AO19)</f>
        <v>8.591707134852447</v>
      </c>
      <c r="AQ20" s="112">
        <f>IF(ISERROR(AQ18/AQ19),0,AQ18/AQ19)</f>
        <v>0</v>
      </c>
    </row>
    <row r="21" spans="3:43" ht="12.75">
      <c r="C21" t="str">
        <f>B313</f>
        <v>Preferred Stock - A</v>
      </c>
      <c r="G21" s="37">
        <f>S313</f>
        <v>10</v>
      </c>
      <c r="I21" s="33">
        <f t="shared" si="5"/>
        <v>0.01226628966004767</v>
      </c>
      <c r="K21" s="145">
        <f>G21/ltm_ebitda</f>
        <v>0.08291873963515757</v>
      </c>
      <c r="M21" s="160">
        <f>O162</f>
        <v>0.14</v>
      </c>
      <c r="Q21" s="170">
        <v>3</v>
      </c>
      <c r="S21" t="s">
        <v>151</v>
      </c>
      <c r="W21" s="121">
        <f>ltm_ebitda</f>
        <v>120.59999999999997</v>
      </c>
      <c r="Y21" s="125">
        <f>$Y$13/W21</f>
        <v>5.359702549751245</v>
      </c>
      <c r="AA21" s="120" t="s">
        <v>264</v>
      </c>
      <c r="AG21" s="76">
        <f>AI8</f>
        <v>15</v>
      </c>
      <c r="AK21" t="s">
        <v>135</v>
      </c>
      <c r="AO21" s="116">
        <v>0.025</v>
      </c>
      <c r="AQ21" s="116">
        <v>0</v>
      </c>
    </row>
    <row r="22" spans="3:33" ht="12.75">
      <c r="C22" t="str">
        <f>B314</f>
        <v>Preferred Stock - B</v>
      </c>
      <c r="G22" s="37">
        <f>S314</f>
        <v>0</v>
      </c>
      <c r="I22" s="33">
        <f t="shared" si="5"/>
        <v>0</v>
      </c>
      <c r="K22" s="145">
        <f>G22/ltm_ebitda</f>
        <v>0</v>
      </c>
      <c r="M22" s="160">
        <f>O163</f>
        <v>0.1425</v>
      </c>
      <c r="Q22" s="170">
        <v>3</v>
      </c>
      <c r="S22" s="124" t="str">
        <f>"FY "&amp;Q48&amp;" PF EBITDA"</f>
        <v>FY 2008 PF EBITDA</v>
      </c>
      <c r="W22" s="122">
        <f>Q60</f>
        <v>130.2</v>
      </c>
      <c r="Y22" s="125">
        <f>$Y$13/W22</f>
        <v>4.964517108294931</v>
      </c>
      <c r="AA22" s="120" t="s">
        <v>273</v>
      </c>
      <c r="AG22" s="37">
        <f>AI6*AI19</f>
        <v>116.28328187499997</v>
      </c>
    </row>
    <row r="23" spans="2:43" ht="13.5" thickBot="1">
      <c r="B23" t="s">
        <v>235</v>
      </c>
      <c r="I23" s="19"/>
      <c r="S23" s="124" t="str">
        <f>"FY "&amp;S48&amp;" PF EBITDA"</f>
        <v>FY 2009 PF EBITDA</v>
      </c>
      <c r="W23" s="122">
        <f>S60</f>
        <v>156.5</v>
      </c>
      <c r="Y23" s="125">
        <f>$Y$13/W23</f>
        <v>4.130224456869009</v>
      </c>
      <c r="AA23" s="120" t="s">
        <v>274</v>
      </c>
      <c r="AG23" s="37">
        <f>-I100</f>
        <v>-61.094</v>
      </c>
      <c r="AK23" s="20" t="s">
        <v>136</v>
      </c>
      <c r="AL23" s="21"/>
      <c r="AM23" s="20"/>
      <c r="AN23" s="21"/>
      <c r="AO23" s="21"/>
      <c r="AP23" s="21"/>
      <c r="AQ23" s="21"/>
    </row>
    <row r="24" spans="3:43" ht="12.75">
      <c r="C24" t="str">
        <f>B315</f>
        <v>Common - Sponsor</v>
      </c>
      <c r="G24" s="37">
        <f>S315</f>
        <v>233.6364471574999</v>
      </c>
      <c r="I24" s="33">
        <f t="shared" si="5"/>
        <v>0.2865852335978315</v>
      </c>
      <c r="K24" s="145">
        <f>G24/ltm_ebitda</f>
        <v>1.9372839731135985</v>
      </c>
      <c r="M24" s="4" t="s">
        <v>152</v>
      </c>
      <c r="N24" s="126"/>
      <c r="O24" s="126"/>
      <c r="P24" s="126"/>
      <c r="Q24" s="126"/>
      <c r="AA24" s="120" t="s">
        <v>275</v>
      </c>
      <c r="AG24" s="37">
        <f>I114</f>
        <v>0</v>
      </c>
      <c r="AK24" t="s">
        <v>137</v>
      </c>
      <c r="AQ24" s="71">
        <v>34.922</v>
      </c>
    </row>
    <row r="25" spans="3:43" ht="13.5" thickBot="1">
      <c r="C25" t="str">
        <f>B316</f>
        <v>Management Rollover</v>
      </c>
      <c r="G25" s="37">
        <f>S316</f>
        <v>0</v>
      </c>
      <c r="I25" s="33">
        <f t="shared" si="5"/>
        <v>0</v>
      </c>
      <c r="K25" s="145">
        <f>G25/ltm_ebitda</f>
        <v>0</v>
      </c>
      <c r="S25" s="4" t="s">
        <v>60</v>
      </c>
      <c r="T25" s="4"/>
      <c r="U25" s="4"/>
      <c r="V25" s="4"/>
      <c r="W25" s="4"/>
      <c r="X25" s="4"/>
      <c r="Y25" s="4"/>
      <c r="AA25" s="120" t="s">
        <v>276</v>
      </c>
      <c r="AG25" s="37">
        <f>-SUM(AG21:AG22)*tax_rate*(1-AI12)</f>
        <v>-45.94914865624999</v>
      </c>
      <c r="AI25" s="76">
        <f>-SUM(AG21:AG25)</f>
        <v>-24.24013321874999</v>
      </c>
      <c r="AK25" t="s">
        <v>138</v>
      </c>
      <c r="AQ25" s="117">
        <f>SUM(AQ5:AQ14)</f>
        <v>0.2371648711943794</v>
      </c>
    </row>
    <row r="26" spans="3:43" ht="13.5" thickBot="1">
      <c r="C26" t="str">
        <f>B317</f>
        <v>Investor Rollover</v>
      </c>
      <c r="G26" s="37">
        <f>S317</f>
        <v>0</v>
      </c>
      <c r="I26" s="33">
        <f t="shared" si="5"/>
        <v>0</v>
      </c>
      <c r="K26" s="145">
        <f>G26/ltm_ebitda</f>
        <v>0</v>
      </c>
      <c r="M26" t="s">
        <v>153</v>
      </c>
      <c r="Q26" s="127">
        <v>0.0278</v>
      </c>
      <c r="AA26" s="128" t="s">
        <v>277</v>
      </c>
      <c r="AI26" s="106">
        <f>AI25+AI19</f>
        <v>440.8929942812499</v>
      </c>
      <c r="AK26" t="s">
        <v>139</v>
      </c>
      <c r="AQ26" s="117">
        <f>IF(AO19&gt;trans_price,0,AO20)+IF(AQ19&gt;trans_price,0,AQ20)</f>
        <v>0</v>
      </c>
    </row>
    <row r="27" spans="3:43" ht="14.25" thickBot="1" thickTop="1">
      <c r="C27" t="str">
        <f>B318</f>
        <v>Other</v>
      </c>
      <c r="G27" s="37">
        <f>S318</f>
        <v>0</v>
      </c>
      <c r="I27" s="33">
        <f t="shared" si="5"/>
        <v>0</v>
      </c>
      <c r="K27" s="145">
        <f>G27/ltm_ebitda</f>
        <v>0</v>
      </c>
      <c r="M27" t="s">
        <v>154</v>
      </c>
      <c r="Q27" s="127">
        <v>0.045</v>
      </c>
      <c r="S27" t="str">
        <f>"Operating Case: "&amp;B271</f>
        <v>Operating Case: Analyst Case</v>
      </c>
      <c r="Y27" s="89">
        <v>2</v>
      </c>
      <c r="AK27" s="120" t="s">
        <v>136</v>
      </c>
      <c r="AQ27" s="118">
        <f>SUM(AQ24:AQ26)</f>
        <v>35.15916487119438</v>
      </c>
    </row>
    <row r="28" spans="2:35" ht="13.5" thickBot="1">
      <c r="B28" s="10" t="s">
        <v>205</v>
      </c>
      <c r="G28" s="106">
        <f>SUM(G9:G27)</f>
        <v>815.2424471574999</v>
      </c>
      <c r="H28" s="10"/>
      <c r="I28" s="155">
        <f>SUM(I9:I27)</f>
        <v>1</v>
      </c>
      <c r="J28" s="10"/>
      <c r="K28" s="156">
        <f>SUM(K9:K27)</f>
        <v>6.759887621538144</v>
      </c>
      <c r="M28" t="s">
        <v>155</v>
      </c>
      <c r="Q28" s="127">
        <v>0.02</v>
      </c>
      <c r="AA28" s="4" t="s">
        <v>13</v>
      </c>
      <c r="AB28" s="4"/>
      <c r="AC28" s="4"/>
      <c r="AD28" s="4"/>
      <c r="AE28" s="4"/>
      <c r="AF28" s="4"/>
      <c r="AG28" s="4"/>
      <c r="AH28" s="4"/>
      <c r="AI28" s="4"/>
    </row>
    <row r="29" spans="13:43" ht="14.25" thickBot="1" thickTop="1">
      <c r="M29" t="s">
        <v>247</v>
      </c>
      <c r="Q29" s="129">
        <v>1</v>
      </c>
      <c r="S29" t="s">
        <v>61</v>
      </c>
      <c r="Y29" s="77">
        <v>10</v>
      </c>
      <c r="AK29" s="20" t="s">
        <v>140</v>
      </c>
      <c r="AL29" s="21"/>
      <c r="AM29" s="21"/>
      <c r="AN29" s="21"/>
      <c r="AO29" s="21"/>
      <c r="AP29" s="21"/>
      <c r="AQ29" s="21"/>
    </row>
    <row r="30" spans="1:43" ht="13.5" thickBot="1">
      <c r="A30" s="83" t="s">
        <v>211</v>
      </c>
      <c r="B30" s="83"/>
      <c r="S30" t="s">
        <v>62</v>
      </c>
      <c r="Y30" s="91">
        <v>20</v>
      </c>
      <c r="AA30" t="s">
        <v>14</v>
      </c>
      <c r="AI30" s="15" t="s">
        <v>15</v>
      </c>
      <c r="AK30" s="24" t="s">
        <v>141</v>
      </c>
      <c r="AL30" s="10"/>
      <c r="AM30" s="10"/>
      <c r="AQ30" s="77">
        <v>0</v>
      </c>
    </row>
    <row r="31" spans="2:43" ht="12.75">
      <c r="B31" t="s">
        <v>144</v>
      </c>
      <c r="M31" s="4" t="s">
        <v>156</v>
      </c>
      <c r="N31" s="126"/>
      <c r="O31" s="126"/>
      <c r="P31" s="126"/>
      <c r="Q31" s="126"/>
      <c r="T31" t="s">
        <v>63</v>
      </c>
      <c r="Y31" s="92">
        <f>SUM(Y29:Y30)</f>
        <v>30</v>
      </c>
      <c r="AA31" t="s">
        <v>16</v>
      </c>
      <c r="AG31" s="6"/>
      <c r="AH31" s="6"/>
      <c r="AI31" s="15" t="s">
        <v>19</v>
      </c>
      <c r="AK31" t="s">
        <v>129</v>
      </c>
      <c r="AQ31" s="119">
        <f>IF(AO19&gt;trans_price,AO18,0)+IF(AQ19&gt;trans_price,AQ18,0)</f>
        <v>230</v>
      </c>
    </row>
    <row r="32" spans="3:43" ht="12.75">
      <c r="C32" t="s">
        <v>217</v>
      </c>
      <c r="G32" s="76">
        <f>S322</f>
        <v>562.9861275</v>
      </c>
      <c r="I32" s="33">
        <f>G32/$G$42</f>
        <v>0.6905750914503528</v>
      </c>
      <c r="K32" s="145">
        <f>G32/ltm_ebitda</f>
        <v>4.668210012437812</v>
      </c>
      <c r="AI32" s="15" t="s">
        <v>20</v>
      </c>
      <c r="AK32" t="s">
        <v>39</v>
      </c>
      <c r="AQ32" s="54">
        <v>0</v>
      </c>
    </row>
    <row r="33" spans="3:43" ht="13.5" thickBot="1">
      <c r="C33" t="s">
        <v>210</v>
      </c>
      <c r="G33" s="37">
        <f>S323</f>
        <v>0</v>
      </c>
      <c r="I33" s="33">
        <f>G33/$G$42</f>
        <v>0</v>
      </c>
      <c r="K33" s="145">
        <f>G33/ltm_ebitda</f>
        <v>0</v>
      </c>
      <c r="M33" s="128" t="s">
        <v>157</v>
      </c>
      <c r="Q33" s="129">
        <v>0</v>
      </c>
      <c r="S33" s="4" t="s">
        <v>5</v>
      </c>
      <c r="T33" s="4"/>
      <c r="U33" s="4"/>
      <c r="V33" s="4"/>
      <c r="W33" s="4"/>
      <c r="X33" s="4"/>
      <c r="Y33" s="4"/>
      <c r="AA33" t="s">
        <v>17</v>
      </c>
      <c r="AG33" s="16">
        <f ca="1">NOW()</f>
        <v>39980.82154502315</v>
      </c>
      <c r="AI33" s="17">
        <f ca="1">NOW()</f>
        <v>39980.82154502315</v>
      </c>
      <c r="AK33" t="s">
        <v>142</v>
      </c>
      <c r="AQ33" s="119">
        <f>-I87</f>
        <v>-146.606</v>
      </c>
    </row>
    <row r="34" spans="2:43" ht="12.75">
      <c r="B34" t="s">
        <v>236</v>
      </c>
      <c r="AA34" t="s">
        <v>18</v>
      </c>
      <c r="AC34" s="80" t="str">
        <f ca="1">CELL("filename")</f>
        <v>C:\Documents and Settings\Administrator\My Documents\LBO\[ebit.xls]LBO</v>
      </c>
      <c r="AD34" s="80"/>
      <c r="AG34" s="10"/>
      <c r="AH34" s="10"/>
      <c r="AI34" s="10"/>
      <c r="AK34" s="120" t="s">
        <v>140</v>
      </c>
      <c r="AQ34" s="92">
        <f>SUM(AQ30:AQ33)</f>
        <v>83.394</v>
      </c>
    </row>
    <row r="35" spans="3:25" ht="12.75">
      <c r="C35" t="s">
        <v>218</v>
      </c>
      <c r="G35" s="37">
        <f>S324</f>
        <v>0</v>
      </c>
      <c r="I35" s="33">
        <f aca="true" t="shared" si="6" ref="I35:I41">G35/$G$42</f>
        <v>0</v>
      </c>
      <c r="K35" s="145">
        <f aca="true" t="shared" si="7" ref="K35:K41">G35/ltm_ebitda</f>
        <v>0</v>
      </c>
      <c r="M35" s="4" t="s">
        <v>158</v>
      </c>
      <c r="N35" s="126"/>
      <c r="O35" s="126"/>
      <c r="P35" s="126"/>
      <c r="Q35" s="126"/>
      <c r="S35" s="8" t="s">
        <v>6</v>
      </c>
      <c r="Y35" s="13">
        <v>39355</v>
      </c>
    </row>
    <row r="36" spans="3:25" ht="12.75">
      <c r="C36" t="s">
        <v>219</v>
      </c>
      <c r="G36" s="37">
        <f>S325</f>
        <v>230</v>
      </c>
      <c r="I36" s="33">
        <f t="shared" si="6"/>
        <v>0.2821246621810964</v>
      </c>
      <c r="K36" s="145">
        <f t="shared" si="7"/>
        <v>1.9071310116086242</v>
      </c>
      <c r="S36" s="8" t="s">
        <v>7</v>
      </c>
      <c r="Y36" s="13">
        <v>39538</v>
      </c>
    </row>
    <row r="37" spans="3:25" ht="12.75">
      <c r="C37" t="s">
        <v>212</v>
      </c>
      <c r="G37" s="37">
        <f>S326</f>
        <v>0</v>
      </c>
      <c r="I37" s="33">
        <f t="shared" si="6"/>
        <v>0</v>
      </c>
      <c r="K37" s="145">
        <f t="shared" si="7"/>
        <v>0</v>
      </c>
      <c r="M37" s="128" t="s">
        <v>159</v>
      </c>
      <c r="Q37" s="77">
        <v>30</v>
      </c>
      <c r="S37" s="8" t="s">
        <v>8</v>
      </c>
      <c r="Y37" s="13">
        <v>39585</v>
      </c>
    </row>
    <row r="38" spans="3:25" ht="12.75">
      <c r="C38" t="s">
        <v>238</v>
      </c>
      <c r="G38" s="37">
        <f>S328</f>
        <v>0</v>
      </c>
      <c r="I38" s="33">
        <f t="shared" si="6"/>
        <v>0</v>
      </c>
      <c r="K38" s="145">
        <f t="shared" si="7"/>
        <v>0</v>
      </c>
      <c r="M38" s="128" t="s">
        <v>160</v>
      </c>
      <c r="Q38" s="77">
        <v>100</v>
      </c>
      <c r="S38" s="8" t="s">
        <v>9</v>
      </c>
      <c r="Y38" s="13">
        <v>39660</v>
      </c>
    </row>
    <row r="39" spans="3:25" ht="12.75">
      <c r="C39" t="s">
        <v>239</v>
      </c>
      <c r="G39" s="37">
        <f>S329</f>
        <v>0</v>
      </c>
      <c r="I39" s="33">
        <f t="shared" si="6"/>
        <v>0</v>
      </c>
      <c r="K39" s="145">
        <f t="shared" si="7"/>
        <v>0</v>
      </c>
      <c r="S39" s="8" t="s">
        <v>10</v>
      </c>
      <c r="Y39" s="14">
        <f>ROUND((MONTH(Y36)-MONTH(Y35)+12*(YEAR(Y36)-YEAR(Y35))),0)</f>
        <v>6</v>
      </c>
    </row>
    <row r="40" spans="3:25" ht="12.75">
      <c r="C40" t="s">
        <v>237</v>
      </c>
      <c r="G40" s="37">
        <f>SUM(S330:S331)</f>
        <v>22.2563196575</v>
      </c>
      <c r="I40" s="33">
        <f t="shared" si="6"/>
        <v>0.02730024636855079</v>
      </c>
      <c r="K40" s="145">
        <f t="shared" si="7"/>
        <v>0.18454659749170818</v>
      </c>
      <c r="M40" s="4" t="s">
        <v>161</v>
      </c>
      <c r="N40" s="126"/>
      <c r="O40" s="126"/>
      <c r="P40" s="126"/>
      <c r="Q40" s="126"/>
      <c r="S40" s="8" t="s">
        <v>11</v>
      </c>
      <c r="Y40" s="14">
        <f>ROUND((MONTH(Y35)-MONTH(Y38)+12*(YEAR(Y35)+1-YEAR(Y38))),0)</f>
        <v>2</v>
      </c>
    </row>
    <row r="41" spans="3:25" ht="13.5" thickBot="1">
      <c r="C41" t="s">
        <v>66</v>
      </c>
      <c r="G41" s="37">
        <f>S332</f>
        <v>0</v>
      </c>
      <c r="I41" s="33">
        <f t="shared" si="6"/>
        <v>0</v>
      </c>
      <c r="K41" s="145">
        <f t="shared" si="7"/>
        <v>0</v>
      </c>
      <c r="S41" s="157" t="s">
        <v>12</v>
      </c>
      <c r="Y41" s="12">
        <f>Y40/12</f>
        <v>0.16666666666666666</v>
      </c>
    </row>
    <row r="42" spans="2:17" ht="13.5" thickBot="1">
      <c r="B42" s="10" t="s">
        <v>215</v>
      </c>
      <c r="G42" s="106">
        <f>SUM(G32:G41)</f>
        <v>815.2424471575</v>
      </c>
      <c r="H42" s="10"/>
      <c r="I42" s="155">
        <f>SUM(I32:I41)</f>
        <v>1</v>
      </c>
      <c r="J42" s="10"/>
      <c r="K42" s="156">
        <f>SUM(K32:K41)</f>
        <v>6.759887621538144</v>
      </c>
      <c r="M42" t="s">
        <v>162</v>
      </c>
      <c r="Q42" s="89">
        <v>4</v>
      </c>
    </row>
    <row r="43" ht="13.5" thickTop="1"/>
    <row r="44" spans="1:39" ht="13.5" customHeight="1" thickBot="1">
      <c r="A44" s="4" t="s">
        <v>64</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K44" s="20" t="s">
        <v>67</v>
      </c>
      <c r="AL44" s="20"/>
      <c r="AM44" s="20"/>
    </row>
    <row r="45" spans="1:39" ht="12.75">
      <c r="A45" s="3" t="str">
        <f>$A$2</f>
        <v>($ in millions, except per share data)</v>
      </c>
      <c r="AK45" s="22" t="str">
        <f>Y39&amp;" Mos."</f>
        <v>6 Mos.</v>
      </c>
      <c r="AM45" s="22" t="str">
        <f>AK45</f>
        <v>6 Mos.</v>
      </c>
    </row>
    <row r="46" spans="13:39" ht="13.5" thickBot="1">
      <c r="M46" s="22" t="s">
        <v>69</v>
      </c>
      <c r="O46" s="22" t="str">
        <f>Y40&amp;" Mos."</f>
        <v>2 Mos.</v>
      </c>
      <c r="Q46" s="20" t="str">
        <f>Q263</f>
        <v>Projected Fiscal Years Ending September 30,</v>
      </c>
      <c r="R46" s="20"/>
      <c r="S46" s="20"/>
      <c r="T46" s="20"/>
      <c r="U46" s="20"/>
      <c r="V46" s="20"/>
      <c r="W46" s="20"/>
      <c r="X46" s="20"/>
      <c r="Y46" s="20"/>
      <c r="Z46" s="20"/>
      <c r="AA46" s="20"/>
      <c r="AB46" s="20"/>
      <c r="AC46" s="20"/>
      <c r="AD46" s="20"/>
      <c r="AE46" s="20"/>
      <c r="AF46" s="20"/>
      <c r="AG46" s="20"/>
      <c r="AH46" s="20"/>
      <c r="AI46" s="20"/>
      <c r="AK46" s="22" t="s">
        <v>68</v>
      </c>
      <c r="AM46" s="22" t="str">
        <f>AK46</f>
        <v>Ended</v>
      </c>
    </row>
    <row r="47" spans="11:39" ht="12.75">
      <c r="K47" s="81">
        <f>Q47-1</f>
        <v>0</v>
      </c>
      <c r="M47" s="22" t="s">
        <v>68</v>
      </c>
      <c r="O47" s="22" t="s">
        <v>240</v>
      </c>
      <c r="Q47" s="81">
        <f>Q264</f>
        <v>1</v>
      </c>
      <c r="S47" s="81">
        <f>S264</f>
        <v>2</v>
      </c>
      <c r="U47" s="81">
        <f>U264</f>
        <v>3</v>
      </c>
      <c r="W47" s="81">
        <f>W264</f>
        <v>4</v>
      </c>
      <c r="Y47" s="81">
        <f>Y264</f>
        <v>5</v>
      </c>
      <c r="AA47" s="81">
        <f>AA264</f>
        <v>6</v>
      </c>
      <c r="AC47" s="81">
        <f>AC264</f>
        <v>7</v>
      </c>
      <c r="AE47" s="81">
        <f>AE264</f>
        <v>8</v>
      </c>
      <c r="AG47" s="81">
        <f>AG264</f>
        <v>9</v>
      </c>
      <c r="AI47" s="81">
        <f>AI264</f>
        <v>10</v>
      </c>
      <c r="AK47" s="22" t="str">
        <f>TEXT(ltm_date,"mmm d")</f>
        <v>Mar 31</v>
      </c>
      <c r="AL47" s="6"/>
      <c r="AM47" s="22" t="str">
        <f>AK47</f>
        <v>Mar 31</v>
      </c>
    </row>
    <row r="48" spans="11:39" ht="13.5" thickBot="1">
      <c r="K48" s="82">
        <f>Q48-1</f>
        <v>2007</v>
      </c>
      <c r="M48" s="99">
        <f>ltm_date</f>
        <v>39538</v>
      </c>
      <c r="O48" s="97" t="str">
        <f>MONTH(fye)&amp;"/"&amp;DAY(fye)&amp;"/"&amp;YEAR(fye)+1</f>
        <v>9/30/2008</v>
      </c>
      <c r="Q48" s="82">
        <f>Q265</f>
        <v>2008</v>
      </c>
      <c r="S48" s="82">
        <f>S265</f>
        <v>2009</v>
      </c>
      <c r="U48" s="82">
        <f>U265</f>
        <v>2010</v>
      </c>
      <c r="W48" s="82">
        <f>W265</f>
        <v>2011</v>
      </c>
      <c r="Y48" s="82">
        <f>Y265</f>
        <v>2012</v>
      </c>
      <c r="AA48" s="82">
        <f>AA265</f>
        <v>2013</v>
      </c>
      <c r="AC48" s="82">
        <f>AC265</f>
        <v>2014</v>
      </c>
      <c r="AE48" s="82">
        <f>AE265</f>
        <v>2015</v>
      </c>
      <c r="AG48" s="82">
        <f>AG265</f>
        <v>2016</v>
      </c>
      <c r="AI48" s="82">
        <f>AI265</f>
        <v>2017</v>
      </c>
      <c r="AK48" s="97">
        <f>AM48-1</f>
        <v>2007</v>
      </c>
      <c r="AM48" s="97" t="str">
        <f>TEXT(ltm_date,"YYYY")</f>
        <v>2008</v>
      </c>
    </row>
    <row r="50" spans="1:39" ht="12.75">
      <c r="A50" s="10" t="s">
        <v>65</v>
      </c>
      <c r="B50" s="10"/>
      <c r="K50" s="93">
        <f>'Target P&amp;L'!K7</f>
        <v>402.5</v>
      </c>
      <c r="M50" s="30">
        <f>K50+AM50-AK50</f>
        <v>420.4</v>
      </c>
      <c r="O50" s="30">
        <f>Q50*stub</f>
        <v>76.35</v>
      </c>
      <c r="Q50" s="30">
        <f>K50*(1+Q51)</f>
        <v>458.09999999999997</v>
      </c>
      <c r="S50" s="30">
        <f>Q50*(1+S51)</f>
        <v>467.99999999999994</v>
      </c>
      <c r="U50" s="30">
        <f>S50*(1+U51)</f>
        <v>470.49999999999994</v>
      </c>
      <c r="W50" s="30">
        <f>U50*(1+W51)</f>
        <v>475.2049999999999</v>
      </c>
      <c r="Y50" s="30">
        <f>W50*(1+Y51)</f>
        <v>479.9570499999999</v>
      </c>
      <c r="AA50" s="30">
        <f>Y50*(1+AA51)</f>
        <v>484.75662049999994</v>
      </c>
      <c r="AC50" s="30">
        <f>AA50*(1+AC51)</f>
        <v>489.60418670499996</v>
      </c>
      <c r="AE50" s="30">
        <f>AC50*(1+AE51)</f>
        <v>494.50022857205</v>
      </c>
      <c r="AG50" s="30">
        <f>AE50*(1+AG51)</f>
        <v>499.44523085777047</v>
      </c>
      <c r="AI50" s="30">
        <f>AG50*(1+AI51)</f>
        <v>504.4396831663482</v>
      </c>
      <c r="AK50" s="31">
        <v>197.4</v>
      </c>
      <c r="AL50" s="10"/>
      <c r="AM50" s="31">
        <v>215.3</v>
      </c>
    </row>
    <row r="51" spans="1:39" ht="12.75">
      <c r="A51" s="19"/>
      <c r="B51" s="19" t="s">
        <v>23</v>
      </c>
      <c r="K51" s="85">
        <f>'Target P&amp;L'!I8</f>
        <v>0.026968716289104577</v>
      </c>
      <c r="M51" s="98" t="s">
        <v>24</v>
      </c>
      <c r="O51" s="98" t="s">
        <v>24</v>
      </c>
      <c r="Q51" s="67">
        <f>Q271</f>
        <v>0.1381366459627329</v>
      </c>
      <c r="S51" s="67">
        <f>S271</f>
        <v>0.0216110019646365</v>
      </c>
      <c r="U51" s="67">
        <f>U271</f>
        <v>0.005341880341880323</v>
      </c>
      <c r="W51" s="67">
        <f>W271</f>
        <v>0.01</v>
      </c>
      <c r="Y51" s="67">
        <f>Y271</f>
        <v>0.01</v>
      </c>
      <c r="AA51" s="67">
        <f>AA271</f>
        <v>0.01</v>
      </c>
      <c r="AC51" s="67">
        <f>AC271</f>
        <v>0.01</v>
      </c>
      <c r="AE51" s="67">
        <f>AE271</f>
        <v>0.01</v>
      </c>
      <c r="AG51" s="67">
        <f>AG271</f>
        <v>0.01</v>
      </c>
      <c r="AI51" s="67">
        <f>AI271</f>
        <v>0.01</v>
      </c>
      <c r="AK51" s="98" t="s">
        <v>24</v>
      </c>
      <c r="AM51" s="33">
        <f>AM50/AK50-1</f>
        <v>0.0906788247213779</v>
      </c>
    </row>
    <row r="52" spans="1:2" ht="4.5" customHeight="1">
      <c r="A52" s="19"/>
      <c r="B52" s="19"/>
    </row>
    <row r="53" spans="1:39" ht="12.75">
      <c r="A53" t="s">
        <v>25</v>
      </c>
      <c r="K53" s="96">
        <f>'Target P&amp;L'!K10</f>
        <v>207.7</v>
      </c>
      <c r="M53" s="94">
        <f>K53+AM53-AK53</f>
        <v>219.3</v>
      </c>
      <c r="O53" s="94">
        <f>Q53*stub</f>
        <v>39.93333333333333</v>
      </c>
      <c r="Q53" s="94">
        <f>Q54*Q$50</f>
        <v>239.6</v>
      </c>
      <c r="S53" s="94">
        <f>S54*S$50</f>
        <v>239.79999999999995</v>
      </c>
      <c r="U53" s="94">
        <f>U54*U$50</f>
        <v>242.19999999999993</v>
      </c>
      <c r="W53" s="94">
        <f>W54*W$50</f>
        <v>244.72199999999995</v>
      </c>
      <c r="Y53" s="94">
        <f>Y54*Y$50</f>
        <v>247.26921999999996</v>
      </c>
      <c r="AA53" s="94">
        <f>AA54*AA$50</f>
        <v>249.84191219999994</v>
      </c>
      <c r="AC53" s="94">
        <f>AC54*AC$50</f>
        <v>252.44033132199996</v>
      </c>
      <c r="AE53" s="94">
        <f>AE54*AE$50</f>
        <v>255.06473463521996</v>
      </c>
      <c r="AG53" s="94">
        <f>AG54*AG$50</f>
        <v>257.71538198157214</v>
      </c>
      <c r="AI53" s="94">
        <f>AI54*AI$50</f>
        <v>260.3925358013879</v>
      </c>
      <c r="AK53" s="38">
        <v>100.8</v>
      </c>
      <c r="AM53" s="38">
        <v>112.4</v>
      </c>
    </row>
    <row r="54" spans="1:39" ht="12.75">
      <c r="A54" s="67"/>
      <c r="B54" s="67" t="s">
        <v>26</v>
      </c>
      <c r="K54" s="67">
        <f>K53/K$50</f>
        <v>0.5160248447204968</v>
      </c>
      <c r="M54" s="67">
        <f>M53/M$50</f>
        <v>0.5216460513796385</v>
      </c>
      <c r="O54" s="67">
        <f>O53/O$50</f>
        <v>0.5230299061340319</v>
      </c>
      <c r="Q54" s="67">
        <f>Q278</f>
        <v>0.5230299061340319</v>
      </c>
      <c r="S54" s="67">
        <f>(S278*S50-$Y$29)/S50</f>
        <v>0.5123931623931623</v>
      </c>
      <c r="U54" s="67">
        <f>(U278*U50-$Y$29)/U50</f>
        <v>0.5147715196599362</v>
      </c>
      <c r="W54" s="67">
        <f>(W278*W50-$Y$29)/W50</f>
        <v>0.5149819551561957</v>
      </c>
      <c r="Y54" s="67">
        <f>(Y278*Y50-$Y$29)/Y50</f>
        <v>0.5151903071326903</v>
      </c>
      <c r="AA54" s="67">
        <f>(AA278*AA50-$Y$29)/AA50</f>
        <v>0.5153965962183285</v>
      </c>
      <c r="AC54" s="67">
        <f>(AC278*AC50-$Y$29)/AC50</f>
        <v>0.5156008428377722</v>
      </c>
      <c r="AE54" s="67">
        <f>(AE278*AE50-$Y$29)/AE50</f>
        <v>0.515803067213459</v>
      </c>
      <c r="AG54" s="67">
        <f>(AG278*AG50-$Y$29)/AG50</f>
        <v>0.5160032893676044</v>
      </c>
      <c r="AI54" s="67">
        <f>(AI278*AI50-$Y$29)/AI50</f>
        <v>0.5162015291241842</v>
      </c>
      <c r="AK54" s="33">
        <f>AK53/AK$50</f>
        <v>0.5106382978723404</v>
      </c>
      <c r="AM54" s="33">
        <f>AM53/AM$50</f>
        <v>0.5220622387366466</v>
      </c>
    </row>
    <row r="55" spans="1:39" ht="12.75">
      <c r="A55" t="s">
        <v>29</v>
      </c>
      <c r="K55" s="96">
        <f>'Target P&amp;L'!K15</f>
        <v>74.8</v>
      </c>
      <c r="M55" s="94">
        <f>K55+AM55-AK55</f>
        <v>80.5</v>
      </c>
      <c r="O55" s="94">
        <f>Q55*stub</f>
        <v>14.716666666666663</v>
      </c>
      <c r="Q55" s="94">
        <f>Q56*Q$50</f>
        <v>88.29999999999998</v>
      </c>
      <c r="S55" s="94">
        <f>S56*S$50</f>
        <v>71.69999999999999</v>
      </c>
      <c r="U55" s="94">
        <f>U56*U$50</f>
        <v>72.39999999999999</v>
      </c>
      <c r="W55" s="94">
        <f>W56*W$50</f>
        <v>73.32399999999998</v>
      </c>
      <c r="Y55" s="94">
        <f>Y56*Y$50</f>
        <v>74.25723999999998</v>
      </c>
      <c r="AA55" s="94">
        <f>AA56*AA$50</f>
        <v>75.19981239999998</v>
      </c>
      <c r="AC55" s="94">
        <f>AC56*AC$50</f>
        <v>76.151810524</v>
      </c>
      <c r="AE55" s="94">
        <f>AE56*AE$50</f>
        <v>77.11332862924</v>
      </c>
      <c r="AG55" s="94">
        <f>AG56*AG$50</f>
        <v>78.0844619155324</v>
      </c>
      <c r="AI55" s="94">
        <f>AI56*AI$50</f>
        <v>79.06530653468772</v>
      </c>
      <c r="AK55" s="38">
        <v>35.5</v>
      </c>
      <c r="AM55" s="38">
        <v>41.2</v>
      </c>
    </row>
    <row r="56" spans="1:39" ht="12.75">
      <c r="A56" s="67"/>
      <c r="B56" s="67" t="s">
        <v>26</v>
      </c>
      <c r="K56" s="67">
        <f>K55/K$50</f>
        <v>0.18583850931677018</v>
      </c>
      <c r="M56" s="67">
        <f>M55/M$50</f>
        <v>0.19148430066603236</v>
      </c>
      <c r="O56" s="67">
        <f>O55/O$50</f>
        <v>0.1927526740886269</v>
      </c>
      <c r="Q56" s="67">
        <f>Q285</f>
        <v>0.19275267408862692</v>
      </c>
      <c r="S56" s="67">
        <f>(S285*S50-$Y$30)/S50</f>
        <v>0.1532051282051282</v>
      </c>
      <c r="U56" s="67">
        <f>(U285*U50-$Y$30)/U50</f>
        <v>0.1538788522848034</v>
      </c>
      <c r="W56" s="67">
        <f>(W285*W50-$Y$30)/W50</f>
        <v>0.15429972327732241</v>
      </c>
      <c r="Y56" s="67">
        <f>(Y285*Y50-$Y$30)/Y50</f>
        <v>0.15471642723031154</v>
      </c>
      <c r="AA56" s="67">
        <f>(AA285*AA50-$Y$30)/AA50</f>
        <v>0.1551290054015879</v>
      </c>
      <c r="AC56" s="67">
        <f>(AC285*AC50-$Y$30)/AC50</f>
        <v>0.15553749864047542</v>
      </c>
      <c r="AE56" s="67">
        <f>(AE285*AE50-$Y$30)/AE50</f>
        <v>0.15594194739184916</v>
      </c>
      <c r="AG56" s="67">
        <f>(AG285*AG50-$Y$30)/AG50</f>
        <v>0.15634239170014</v>
      </c>
      <c r="AI56" s="67">
        <f>(AI285*AI50-$Y$30)/AI50</f>
        <v>0.15673887121329924</v>
      </c>
      <c r="AK56" s="33">
        <f>AK55/AK$50</f>
        <v>0.17983789260385005</v>
      </c>
      <c r="AM56" s="33">
        <f>AM55/AM$50</f>
        <v>0.19136089177891316</v>
      </c>
    </row>
    <row r="57" spans="1:39" ht="12.75">
      <c r="A57" t="s">
        <v>66</v>
      </c>
      <c r="K57" s="38">
        <v>0</v>
      </c>
      <c r="M57" s="94">
        <f>K57+AM57-AK57</f>
        <v>0</v>
      </c>
      <c r="O57" s="94">
        <f>Q57*stub</f>
        <v>0</v>
      </c>
      <c r="Q57" s="94">
        <f>Q58*Q$50</f>
        <v>0</v>
      </c>
      <c r="S57" s="94">
        <f>S58*S$50</f>
        <v>0</v>
      </c>
      <c r="U57" s="94">
        <f>U58*U$50</f>
        <v>0</v>
      </c>
      <c r="W57" s="94">
        <f>W58*W$50</f>
        <v>0</v>
      </c>
      <c r="Y57" s="94">
        <f>Y58*Y$50</f>
        <v>0</v>
      </c>
      <c r="AA57" s="94">
        <f>AA58*AA$50</f>
        <v>0</v>
      </c>
      <c r="AC57" s="94">
        <f>AC58*AC$50</f>
        <v>0</v>
      </c>
      <c r="AE57" s="94">
        <f>AE58*AE$50</f>
        <v>0</v>
      </c>
      <c r="AG57" s="94">
        <f>AG58*AG$50</f>
        <v>0</v>
      </c>
      <c r="AI57" s="94">
        <f>AI58*AI$50</f>
        <v>0</v>
      </c>
      <c r="AK57" s="38">
        <v>0</v>
      </c>
      <c r="AM57" s="38">
        <v>0</v>
      </c>
    </row>
    <row r="58" spans="1:39" ht="12.75">
      <c r="A58" s="67"/>
      <c r="B58" s="67" t="s">
        <v>26</v>
      </c>
      <c r="K58" s="67">
        <f>K57/K$50</f>
        <v>0</v>
      </c>
      <c r="M58" s="67">
        <f>M57/M$50</f>
        <v>0</v>
      </c>
      <c r="O58" s="67">
        <f>O57/O$50</f>
        <v>0</v>
      </c>
      <c r="Q58" s="67">
        <f>Q292</f>
        <v>0</v>
      </c>
      <c r="S58" s="67">
        <f>S292</f>
        <v>0</v>
      </c>
      <c r="U58" s="67">
        <f>U292</f>
        <v>0</v>
      </c>
      <c r="W58" s="67">
        <f>W292</f>
        <v>0</v>
      </c>
      <c r="Y58" s="67">
        <f>Y292</f>
        <v>0</v>
      </c>
      <c r="AA58" s="67">
        <f>AA292</f>
        <v>0</v>
      </c>
      <c r="AC58" s="67">
        <f>AC292</f>
        <v>0</v>
      </c>
      <c r="AE58" s="67">
        <f>AE292</f>
        <v>0</v>
      </c>
      <c r="AG58" s="67">
        <f>AG292</f>
        <v>0</v>
      </c>
      <c r="AI58" s="67">
        <f>AI292</f>
        <v>0</v>
      </c>
      <c r="AK58" s="33">
        <f>AK57/AK$50</f>
        <v>0</v>
      </c>
      <c r="AM58" s="33">
        <f>AM57/AM$50</f>
        <v>0</v>
      </c>
    </row>
    <row r="59" spans="1:2" ht="4.5" customHeight="1" thickBot="1">
      <c r="A59" s="67"/>
      <c r="B59" s="67"/>
    </row>
    <row r="60" spans="1:39" ht="12.75">
      <c r="A60" s="10" t="s">
        <v>30</v>
      </c>
      <c r="B60" s="10"/>
      <c r="K60" s="95">
        <f>K50-K53-K55-K57</f>
        <v>120.00000000000001</v>
      </c>
      <c r="M60" s="95">
        <f>M50-M53-M55-M57</f>
        <v>120.59999999999997</v>
      </c>
      <c r="O60" s="95">
        <f>O50-O53-O55-O57</f>
        <v>21.700000000000003</v>
      </c>
      <c r="Q60" s="95">
        <f>Q50-Q53-Q55-Q57</f>
        <v>130.2</v>
      </c>
      <c r="S60" s="95">
        <f>S50-S53-S55-S57</f>
        <v>156.5</v>
      </c>
      <c r="U60" s="95">
        <f>U50-U53-U55-U57</f>
        <v>155.90000000000003</v>
      </c>
      <c r="W60" s="95">
        <f>W50-W53-W55-W57</f>
        <v>157.159</v>
      </c>
      <c r="Y60" s="95">
        <f>Y50-Y53-Y55-Y57</f>
        <v>158.43059</v>
      </c>
      <c r="AA60" s="95">
        <f>AA50-AA53-AA55-AA57</f>
        <v>159.71489590000002</v>
      </c>
      <c r="AC60" s="95">
        <f>AC50-AC53-AC55-AC57</f>
        <v>161.012044859</v>
      </c>
      <c r="AE60" s="95">
        <f>AE50-AE53-AE55-AE57</f>
        <v>162.32216530759</v>
      </c>
      <c r="AG60" s="95">
        <f>AG50-AG53-AG55-AG57</f>
        <v>163.64538696066592</v>
      </c>
      <c r="AI60" s="95">
        <f>AI50-AI53-AI55-AI57</f>
        <v>164.98184083027255</v>
      </c>
      <c r="AK60" s="95">
        <f>AK50-AK53-AK55-AK57</f>
        <v>61.10000000000001</v>
      </c>
      <c r="AL60" s="10"/>
      <c r="AM60" s="95">
        <f>AM50-AM53-AM55-AM57</f>
        <v>61.7</v>
      </c>
    </row>
    <row r="61" spans="1:39" ht="12.75">
      <c r="A61" s="67"/>
      <c r="B61" s="67" t="s">
        <v>28</v>
      </c>
      <c r="K61" s="67">
        <f>K60/K$50</f>
        <v>0.2981366459627329</v>
      </c>
      <c r="M61" s="67">
        <f>M60/M$50</f>
        <v>0.2868696479543291</v>
      </c>
      <c r="O61" s="67">
        <f>O60/O$50</f>
        <v>0.2842174197773413</v>
      </c>
      <c r="Q61" s="67">
        <f>Q60/Q$50</f>
        <v>0.28421741977734116</v>
      </c>
      <c r="S61" s="67">
        <f>S60/S$50</f>
        <v>0.33440170940170943</v>
      </c>
      <c r="U61" s="67">
        <f>U60/U$50</f>
        <v>0.33134962805526047</v>
      </c>
      <c r="W61" s="67">
        <f>W60/W$50</f>
        <v>0.33071832156648184</v>
      </c>
      <c r="Y61" s="67">
        <f>Y60/Y$50</f>
        <v>0.3300932656369982</v>
      </c>
      <c r="AA61" s="67">
        <f>AA60/AA$50</f>
        <v>0.3294743983800837</v>
      </c>
      <c r="AC61" s="67">
        <f>AC60/AC$50</f>
        <v>0.3288616585217524</v>
      </c>
      <c r="AE61" s="67">
        <f>AE60/AE$50</f>
        <v>0.3282549853946918</v>
      </c>
      <c r="AG61" s="67">
        <f>AG60/AG$50</f>
        <v>0.32765431893225555</v>
      </c>
      <c r="AI61" s="67">
        <f>AI60/AI$50</f>
        <v>0.3270595996625166</v>
      </c>
      <c r="AK61" s="33">
        <f>AK60/AK$50</f>
        <v>0.30952380952380953</v>
      </c>
      <c r="AM61" s="33">
        <f>AM60/AM$50</f>
        <v>0.28657686948444033</v>
      </c>
    </row>
    <row r="62" ht="4.5" customHeight="1"/>
    <row r="63" spans="1:39" ht="12.75">
      <c r="A63" t="s">
        <v>335</v>
      </c>
      <c r="K63" s="96">
        <f>'Target P&amp;L'!K22</f>
        <v>12.1</v>
      </c>
      <c r="M63" s="94">
        <f>K63+AM63-AK63</f>
        <v>13.100000000000001</v>
      </c>
      <c r="O63" s="94">
        <f>O232</f>
        <v>2.3499999999999996</v>
      </c>
      <c r="Q63" s="94">
        <f>Q232</f>
        <v>14.1</v>
      </c>
      <c r="S63" s="94">
        <f>S232</f>
        <v>14.1</v>
      </c>
      <c r="U63" s="94">
        <f>U232</f>
        <v>14.1</v>
      </c>
      <c r="W63" s="94">
        <f>W232</f>
        <v>14.241</v>
      </c>
      <c r="Y63" s="94">
        <f>Y232</f>
        <v>14.38341</v>
      </c>
      <c r="AA63" s="94">
        <f>AA232</f>
        <v>14.527244099999999</v>
      </c>
      <c r="AC63" s="94">
        <f>AC232</f>
        <v>14.672516541</v>
      </c>
      <c r="AE63" s="94">
        <f>AE232</f>
        <v>14.819241706410002</v>
      </c>
      <c r="AG63" s="94">
        <f>AG232</f>
        <v>14.967434123474101</v>
      </c>
      <c r="AI63" s="94">
        <f>AI232</f>
        <v>15.117108464708842</v>
      </c>
      <c r="AK63" s="38">
        <v>5.7</v>
      </c>
      <c r="AM63" s="38">
        <v>6.7</v>
      </c>
    </row>
    <row r="64" spans="1:39" ht="12.75">
      <c r="A64" s="67"/>
      <c r="B64" s="67" t="s">
        <v>26</v>
      </c>
      <c r="K64" s="67">
        <f>K63/K$50</f>
        <v>0.030062111801242235</v>
      </c>
      <c r="M64" s="67">
        <f>M63/M$50</f>
        <v>0.031160799238820175</v>
      </c>
      <c r="O64" s="67">
        <f>O63/O$50</f>
        <v>0.03077930582842174</v>
      </c>
      <c r="Q64" s="67">
        <f>Q63/Q$50</f>
        <v>0.030779305828421744</v>
      </c>
      <c r="S64" s="67">
        <f>S63/S$50</f>
        <v>0.030128205128205132</v>
      </c>
      <c r="U64" s="67">
        <f>U63/U$50</f>
        <v>0.029968119022316688</v>
      </c>
      <c r="W64" s="67">
        <f>W63/W$50</f>
        <v>0.029968119022316688</v>
      </c>
      <c r="Y64" s="67">
        <f>Y63/Y$50</f>
        <v>0.029968119022316688</v>
      </c>
      <c r="AA64" s="67">
        <f>AA63/AA$50</f>
        <v>0.029968119022316685</v>
      </c>
      <c r="AC64" s="67">
        <f>AC63/AC$50</f>
        <v>0.029968119022316688</v>
      </c>
      <c r="AE64" s="67">
        <f>AE63/AE$50</f>
        <v>0.029968119022316688</v>
      </c>
      <c r="AG64" s="67">
        <f>AG63/AG$50</f>
        <v>0.029968119022316688</v>
      </c>
      <c r="AI64" s="67">
        <f>AI63/AI$50</f>
        <v>0.029968119022316688</v>
      </c>
      <c r="AK64" s="33">
        <f>AK63/AK$50</f>
        <v>0.028875379939209727</v>
      </c>
      <c r="AM64" s="33">
        <f>AM63/AM$50</f>
        <v>0.031119368323269857</v>
      </c>
    </row>
    <row r="65" spans="1:39" ht="12.75">
      <c r="A65" t="s">
        <v>336</v>
      </c>
      <c r="K65" s="38">
        <v>0</v>
      </c>
      <c r="M65" s="94">
        <f>K65+AM65-AK65</f>
        <v>0</v>
      </c>
      <c r="O65" s="37">
        <f>O252</f>
        <v>0.3125</v>
      </c>
      <c r="Q65" s="37">
        <f>Q252</f>
        <v>0.3125</v>
      </c>
      <c r="S65" s="37">
        <f>S252</f>
        <v>1.875</v>
      </c>
      <c r="U65" s="37">
        <f>U252</f>
        <v>1.875</v>
      </c>
      <c r="W65" s="37">
        <f>W252</f>
        <v>1.875</v>
      </c>
      <c r="Y65" s="37">
        <f>Y252</f>
        <v>1.875</v>
      </c>
      <c r="AA65" s="37">
        <f>AA252</f>
        <v>1.875</v>
      </c>
      <c r="AC65" s="37">
        <f>AC252</f>
        <v>1.875</v>
      </c>
      <c r="AE65" s="37">
        <f>AE252</f>
        <v>1.875</v>
      </c>
      <c r="AG65" s="37">
        <f>AG252</f>
        <v>1.5625</v>
      </c>
      <c r="AI65" s="37">
        <f>AI252</f>
        <v>0</v>
      </c>
      <c r="AK65" s="38">
        <v>0</v>
      </c>
      <c r="AM65" s="38">
        <v>0</v>
      </c>
    </row>
    <row r="66" spans="1:39" ht="12.75">
      <c r="A66" s="67"/>
      <c r="B66" s="67" t="s">
        <v>26</v>
      </c>
      <c r="K66" s="67">
        <f>K65/K$50</f>
        <v>0</v>
      </c>
      <c r="M66" s="67">
        <f>M65/M$50</f>
        <v>0</v>
      </c>
      <c r="O66" s="67">
        <f>O65/O$50</f>
        <v>0.004092992796332679</v>
      </c>
      <c r="Q66" s="67">
        <f>Q65/Q$50</f>
        <v>0.0006821654660554465</v>
      </c>
      <c r="S66" s="67">
        <f>S65/S$50</f>
        <v>0.004006410256410257</v>
      </c>
      <c r="U66" s="67">
        <f>U65/U$50</f>
        <v>0.003985122210414453</v>
      </c>
      <c r="W66" s="67">
        <f>W65/W$50</f>
        <v>0.003945665554865796</v>
      </c>
      <c r="Y66" s="67">
        <f>Y65/Y$50</f>
        <v>0.003906599559273065</v>
      </c>
      <c r="AA66" s="67">
        <f>AA65/AA$50</f>
        <v>0.0038679203557159055</v>
      </c>
      <c r="AC66" s="67">
        <f>AC65/AC$50</f>
        <v>0.0038296241145702034</v>
      </c>
      <c r="AE66" s="67">
        <f>AE65/AE$50</f>
        <v>0.003791707044128914</v>
      </c>
      <c r="AG66" s="67">
        <f>AG65/AG$50</f>
        <v>0.0031284711585222065</v>
      </c>
      <c r="AI66" s="67">
        <f>AI65/AI$50</f>
        <v>0</v>
      </c>
      <c r="AK66" s="33">
        <f>AK65/AK$50</f>
        <v>0</v>
      </c>
      <c r="AM66" s="33">
        <f>AM65/AM$50</f>
        <v>0</v>
      </c>
    </row>
    <row r="67" ht="4.5" customHeight="1" thickBot="1"/>
    <row r="68" spans="1:39" ht="12.75">
      <c r="A68" s="10" t="s">
        <v>36</v>
      </c>
      <c r="B68" s="10"/>
      <c r="K68" s="95">
        <f>K60-K63-K65</f>
        <v>107.90000000000002</v>
      </c>
      <c r="M68" s="95">
        <f>M60-M63-M65</f>
        <v>107.49999999999997</v>
      </c>
      <c r="O68" s="95">
        <f>O60-O63-O65</f>
        <v>19.0375</v>
      </c>
      <c r="Q68" s="95">
        <f>Q60-Q63-Q65</f>
        <v>115.7875</v>
      </c>
      <c r="S68" s="95">
        <f>S60-S63-S65</f>
        <v>140.525</v>
      </c>
      <c r="U68" s="95">
        <f>U60-U63-U65</f>
        <v>139.92500000000004</v>
      </c>
      <c r="W68" s="95">
        <f>W60-W63-W65</f>
        <v>141.043</v>
      </c>
      <c r="Y68" s="95">
        <f>Y60-Y63-Y65</f>
        <v>142.17218</v>
      </c>
      <c r="AA68" s="95">
        <f>AA60-AA63-AA65</f>
        <v>143.31265180000003</v>
      </c>
      <c r="AC68" s="95">
        <f>AC60-AC63-AC65</f>
        <v>144.46452831800002</v>
      </c>
      <c r="AE68" s="95">
        <f>AE60-AE63-AE65</f>
        <v>145.62792360118002</v>
      </c>
      <c r="AG68" s="95">
        <f>AG60-AG63-AG65</f>
        <v>147.1154528371918</v>
      </c>
      <c r="AI68" s="95">
        <f>AI60-AI63-AI65</f>
        <v>149.8647323655637</v>
      </c>
      <c r="AK68" s="95">
        <f>AK60-AK63-AK65</f>
        <v>55.400000000000006</v>
      </c>
      <c r="AL68" s="10"/>
      <c r="AM68" s="95">
        <f>AM60-AM63-AM65</f>
        <v>55</v>
      </c>
    </row>
    <row r="69" spans="1:39" ht="12.75">
      <c r="A69" s="67"/>
      <c r="B69" s="67" t="s">
        <v>28</v>
      </c>
      <c r="K69" s="67">
        <f>K68/K$50</f>
        <v>0.26807453416149074</v>
      </c>
      <c r="M69" s="67">
        <f>M68/M$50</f>
        <v>0.255708848715509</v>
      </c>
      <c r="O69" s="67">
        <f>O68/O$50</f>
        <v>0.2493451211525868</v>
      </c>
      <c r="Q69" s="67">
        <f>Q68/Q$50</f>
        <v>0.25275594848286403</v>
      </c>
      <c r="S69" s="67">
        <f>S68/S$50</f>
        <v>0.30026709401709406</v>
      </c>
      <c r="U69" s="67">
        <f>U68/U$50</f>
        <v>0.29739638682252933</v>
      </c>
      <c r="W69" s="67">
        <f>W68/W$50</f>
        <v>0.29680453698929943</v>
      </c>
      <c r="Y69" s="67">
        <f>Y68/Y$50</f>
        <v>0.29621854705540845</v>
      </c>
      <c r="AA69" s="67">
        <f>AA68/AA$50</f>
        <v>0.2956383590020511</v>
      </c>
      <c r="AC69" s="67">
        <f>AC68/AC$50</f>
        <v>0.29506391538486554</v>
      </c>
      <c r="AE69" s="67">
        <f>AE68/AE$50</f>
        <v>0.29449515932824616</v>
      </c>
      <c r="AG69" s="67">
        <f>AG68/AG$50</f>
        <v>0.2945577287514166</v>
      </c>
      <c r="AI69" s="67">
        <f>AI68/AI$50</f>
        <v>0.2970914806401999</v>
      </c>
      <c r="AK69" s="33">
        <f>AK68/AK$50</f>
        <v>0.28064842958459985</v>
      </c>
      <c r="AM69" s="33">
        <f>AM68/AM$50</f>
        <v>0.25545750116117044</v>
      </c>
    </row>
    <row r="70" ht="4.5" customHeight="1"/>
    <row r="71" spans="1:39" ht="12.75">
      <c r="A71" t="s">
        <v>337</v>
      </c>
      <c r="K71" s="96">
        <f>'Target P&amp;L'!K24</f>
        <v>18.6</v>
      </c>
      <c r="M71" s="94">
        <f>K71+AM71-AK71</f>
        <v>19.1</v>
      </c>
      <c r="O71" s="94">
        <f>stub*Q71</f>
        <v>3.2666666666666666</v>
      </c>
      <c r="Q71" s="96">
        <f>'Target P&amp;L'!M24</f>
        <v>19.6</v>
      </c>
      <c r="S71" s="96">
        <f>'Target P&amp;L'!O24</f>
        <v>19.9</v>
      </c>
      <c r="U71" s="96">
        <f>'Target P&amp;L'!Q24</f>
        <v>20</v>
      </c>
      <c r="W71" s="96">
        <f>'Target P&amp;L'!S24</f>
        <v>20</v>
      </c>
      <c r="Y71" s="96">
        <f>'Target P&amp;L'!U24</f>
        <v>20</v>
      </c>
      <c r="AA71" s="96">
        <f>'Target P&amp;L'!W24</f>
        <v>0</v>
      </c>
      <c r="AC71" s="96">
        <f>'Target P&amp;L'!Y24</f>
        <v>0</v>
      </c>
      <c r="AE71" s="96">
        <f>'Target P&amp;L'!AA24</f>
        <v>0</v>
      </c>
      <c r="AG71" s="96">
        <f>'Target P&amp;L'!AC24</f>
        <v>0</v>
      </c>
      <c r="AI71" s="96">
        <f>'Target P&amp;L'!AE24</f>
        <v>0</v>
      </c>
      <c r="AK71" s="38">
        <v>9.2</v>
      </c>
      <c r="AM71" s="38">
        <v>9.7</v>
      </c>
    </row>
    <row r="72" spans="1:39" ht="12.75">
      <c r="A72" s="67"/>
      <c r="B72" s="67" t="s">
        <v>26</v>
      </c>
      <c r="K72" s="67">
        <f>K71/K$50</f>
        <v>0.04621118012422361</v>
      </c>
      <c r="M72" s="67">
        <f>M71/M$50</f>
        <v>0.045432921027592776</v>
      </c>
      <c r="O72" s="67">
        <f>O71/O$50</f>
        <v>0.0427854180309976</v>
      </c>
      <c r="Q72" s="67">
        <f>Q71/Q$50</f>
        <v>0.042785418030997606</v>
      </c>
      <c r="S72" s="67">
        <f>S71/S$50</f>
        <v>0.04252136752136752</v>
      </c>
      <c r="U72" s="67">
        <f>U71/U$50</f>
        <v>0.04250797024442084</v>
      </c>
      <c r="W72" s="67">
        <f>W71/W$50</f>
        <v>0.042087099251901815</v>
      </c>
      <c r="Y72" s="67">
        <f>Y71/Y$50</f>
        <v>0.04167039529891269</v>
      </c>
      <c r="AA72" s="67">
        <f>AA71/AA$50</f>
        <v>0</v>
      </c>
      <c r="AC72" s="67">
        <f>AC71/AC$50</f>
        <v>0</v>
      </c>
      <c r="AE72" s="67">
        <f>AE71/AE$50</f>
        <v>0</v>
      </c>
      <c r="AG72" s="67">
        <f>AG71/AG$50</f>
        <v>0</v>
      </c>
      <c r="AI72" s="67">
        <f>AI71/AI$50</f>
        <v>0</v>
      </c>
      <c r="AK72" s="33">
        <f>AK71/AK$50</f>
        <v>0.04660587639311043</v>
      </c>
      <c r="AM72" s="33">
        <f>AM71/AM$50</f>
        <v>0.04505341384115188</v>
      </c>
    </row>
    <row r="73" spans="1:39" ht="12.75">
      <c r="A73" t="s">
        <v>338</v>
      </c>
      <c r="K73" s="38">
        <v>0</v>
      </c>
      <c r="M73" s="94">
        <f>K73+AM73-AK73</f>
        <v>0</v>
      </c>
      <c r="O73" s="37">
        <f>O250</f>
        <v>3.8761093958333324</v>
      </c>
      <c r="Q73" s="37">
        <f>Q250</f>
        <v>3.8761093958333324</v>
      </c>
      <c r="S73" s="37">
        <f>S250</f>
        <v>23.256656374999995</v>
      </c>
      <c r="U73" s="37">
        <f>U250</f>
        <v>23.256656374999995</v>
      </c>
      <c r="W73" s="37">
        <f>W250</f>
        <v>23.256656374999995</v>
      </c>
      <c r="Y73" s="37">
        <f>Y250</f>
        <v>23.256656374999995</v>
      </c>
      <c r="AA73" s="37">
        <f>AA250</f>
        <v>19.380546979166667</v>
      </c>
      <c r="AC73" s="37">
        <f>AC250</f>
        <v>0</v>
      </c>
      <c r="AE73" s="37">
        <f>AE250</f>
        <v>0</v>
      </c>
      <c r="AG73" s="37">
        <f>AG250</f>
        <v>0</v>
      </c>
      <c r="AI73" s="37">
        <f>AI250</f>
        <v>0</v>
      </c>
      <c r="AK73" s="38">
        <v>0</v>
      </c>
      <c r="AM73" s="38">
        <v>0</v>
      </c>
    </row>
    <row r="74" spans="1:39" ht="12.75">
      <c r="A74" s="67"/>
      <c r="B74" s="67" t="s">
        <v>26</v>
      </c>
      <c r="K74" s="67">
        <f>K73/K$50</f>
        <v>0</v>
      </c>
      <c r="M74" s="67">
        <f>M73/M$50</f>
        <v>0</v>
      </c>
      <c r="O74" s="67">
        <f>O73/O$50</f>
        <v>0.05076764107181837</v>
      </c>
      <c r="Q74" s="67">
        <f>Q73/Q$50</f>
        <v>0.008461273511969729</v>
      </c>
      <c r="S74" s="67">
        <f>S73/S$50</f>
        <v>0.049693710202991445</v>
      </c>
      <c r="U74" s="67">
        <f>U73/U$50</f>
        <v>0.049429662858660996</v>
      </c>
      <c r="W74" s="67">
        <f>W73/W$50</f>
        <v>0.048940260256099995</v>
      </c>
      <c r="Y74" s="67">
        <f>Y73/Y$50</f>
        <v>0.048455703223861384</v>
      </c>
      <c r="AA74" s="67">
        <f>AA73/AA$50</f>
        <v>0.03997995315500115</v>
      </c>
      <c r="AC74" s="67">
        <f>AC73/AC$50</f>
        <v>0</v>
      </c>
      <c r="AE74" s="67">
        <f>AE73/AE$50</f>
        <v>0</v>
      </c>
      <c r="AG74" s="67">
        <f>AG73/AG$50</f>
        <v>0</v>
      </c>
      <c r="AI74" s="67">
        <f>AI73/AI$50</f>
        <v>0</v>
      </c>
      <c r="AK74" s="33">
        <f>AK73/AK$50</f>
        <v>0</v>
      </c>
      <c r="AM74" s="33">
        <f>AM73/AM$50</f>
        <v>0</v>
      </c>
    </row>
    <row r="75" spans="1:39" ht="12.75">
      <c r="A75" t="s">
        <v>339</v>
      </c>
      <c r="K75" s="96">
        <f>'Target P&amp;L'!K29</f>
        <v>11.3</v>
      </c>
      <c r="M75" s="94">
        <f>K75+AM75-AK75</f>
        <v>11.5</v>
      </c>
      <c r="O75" s="94">
        <f>stub*Q75</f>
        <v>1.8</v>
      </c>
      <c r="Q75" s="96">
        <f>'Target P&amp;L'!M29</f>
        <v>10.8</v>
      </c>
      <c r="S75" s="96">
        <f>'Target P&amp;L'!O29</f>
        <v>10.6</v>
      </c>
      <c r="U75" s="96">
        <f>'Target P&amp;L'!Q29</f>
        <v>10.7</v>
      </c>
      <c r="W75" s="96">
        <f>'Target P&amp;L'!S29</f>
        <v>10.806999999999999</v>
      </c>
      <c r="Y75" s="96">
        <f>'Target P&amp;L'!U29</f>
        <v>10.915069999999998</v>
      </c>
      <c r="AA75" s="96">
        <f>'Target P&amp;L'!W29</f>
        <v>0</v>
      </c>
      <c r="AC75" s="96">
        <f>'Target P&amp;L'!Y29</f>
        <v>0</v>
      </c>
      <c r="AE75" s="96">
        <f>'Target P&amp;L'!AA29</f>
        <v>0</v>
      </c>
      <c r="AG75" s="96">
        <f>'Target P&amp;L'!AC29</f>
        <v>0</v>
      </c>
      <c r="AI75" s="96">
        <f>'Target P&amp;L'!AE29</f>
        <v>0</v>
      </c>
      <c r="AK75" s="38">
        <v>5.5</v>
      </c>
      <c r="AM75" s="38">
        <v>5.7</v>
      </c>
    </row>
    <row r="76" spans="1:39" ht="12.75">
      <c r="A76" s="67"/>
      <c r="B76" s="67" t="s">
        <v>26</v>
      </c>
      <c r="K76" s="67">
        <f>K75/K$50</f>
        <v>0.028074534161490684</v>
      </c>
      <c r="M76" s="67">
        <f>M75/M$50</f>
        <v>0.02735490009514748</v>
      </c>
      <c r="O76" s="67">
        <f>O75/O$50</f>
        <v>0.02357563850687623</v>
      </c>
      <c r="Q76" s="67">
        <f>Q75/Q$50</f>
        <v>0.02357563850687623</v>
      </c>
      <c r="S76" s="67">
        <f>S75/S$50</f>
        <v>0.022649572649572652</v>
      </c>
      <c r="U76" s="67">
        <f>U75/U$50</f>
        <v>0.022741764080765146</v>
      </c>
      <c r="W76" s="67">
        <f>W75/W$50</f>
        <v>0.022741764080765146</v>
      </c>
      <c r="Y76" s="67">
        <f>Y75/Y$50</f>
        <v>0.022741764080765142</v>
      </c>
      <c r="AA76" s="67">
        <f>AA75/AA$50</f>
        <v>0</v>
      </c>
      <c r="AC76" s="67">
        <f>AC75/AC$50</f>
        <v>0</v>
      </c>
      <c r="AE76" s="67">
        <f>AE75/AE$50</f>
        <v>0</v>
      </c>
      <c r="AG76" s="67">
        <f>AG75/AG$50</f>
        <v>0</v>
      </c>
      <c r="AI76" s="67">
        <f>AI75/AI$50</f>
        <v>0</v>
      </c>
      <c r="AK76" s="33">
        <f>AK75/AK$50</f>
        <v>0.02786220871327254</v>
      </c>
      <c r="AM76" s="33">
        <f>AM75/AM$50</f>
        <v>0.026474686483975846</v>
      </c>
    </row>
    <row r="77" spans="1:2" ht="4.5" customHeight="1" thickBot="1">
      <c r="A77" s="67"/>
      <c r="B77" s="67"/>
    </row>
    <row r="78" spans="1:39" ht="12.75">
      <c r="A78" s="10" t="s">
        <v>35</v>
      </c>
      <c r="B78" s="10"/>
      <c r="K78" s="95">
        <f>K68-K71-K73-K75</f>
        <v>78.00000000000001</v>
      </c>
      <c r="M78" s="95">
        <f>M68-M71-M73-M75</f>
        <v>76.89999999999998</v>
      </c>
      <c r="O78" s="95">
        <f>O68-O71-O73-O75</f>
        <v>10.094723937500003</v>
      </c>
      <c r="Q78" s="95">
        <f>Q68-Q71-Q73-Q75</f>
        <v>81.51139060416666</v>
      </c>
      <c r="S78" s="95">
        <f>S68-S71-S73-S75</f>
        <v>86.76834362500001</v>
      </c>
      <c r="U78" s="95">
        <f>U68-U71-U73-U75</f>
        <v>85.96834362500005</v>
      </c>
      <c r="W78" s="95">
        <f>W68-W71-W73-W75</f>
        <v>86.97934362500001</v>
      </c>
      <c r="Y78" s="95">
        <f>Y68-Y71-Y73-Y75</f>
        <v>88.000453625</v>
      </c>
      <c r="AA78" s="95">
        <f>AA68-AA71-AA73-AA75</f>
        <v>123.93210482083336</v>
      </c>
      <c r="AC78" s="95">
        <f>AC68-AC71-AC73-AC75</f>
        <v>144.46452831800002</v>
      </c>
      <c r="AE78" s="95">
        <f>AE68-AE71-AE73-AE75</f>
        <v>145.62792360118002</v>
      </c>
      <c r="AG78" s="95">
        <f>AG68-AG71-AG73-AG75</f>
        <v>147.1154528371918</v>
      </c>
      <c r="AI78" s="95">
        <f>AI68-AI71-AI73-AI75</f>
        <v>149.8647323655637</v>
      </c>
      <c r="AK78" s="95">
        <f>AK68-AK71-AK73-AK75</f>
        <v>40.7</v>
      </c>
      <c r="AL78" s="10"/>
      <c r="AM78" s="95">
        <f>AM68-AM71-AM73-AM75</f>
        <v>39.599999999999994</v>
      </c>
    </row>
    <row r="79" spans="1:39" ht="12.75">
      <c r="A79" s="67"/>
      <c r="B79" s="67" t="s">
        <v>28</v>
      </c>
      <c r="K79" s="67">
        <f>K78/K$50</f>
        <v>0.19378881987577642</v>
      </c>
      <c r="M79" s="67">
        <f>M78/M$50</f>
        <v>0.18292102759276874</v>
      </c>
      <c r="O79" s="67">
        <f>O78/O$50</f>
        <v>0.13221642354289462</v>
      </c>
      <c r="Q79" s="67">
        <f>Q78/Q$50</f>
        <v>0.17793361843302044</v>
      </c>
      <c r="S79" s="67">
        <f>S78/S$50</f>
        <v>0.18540244364316244</v>
      </c>
      <c r="U79" s="67">
        <f>U78/U$50</f>
        <v>0.18271698963868238</v>
      </c>
      <c r="W79" s="67">
        <f>W78/W$50</f>
        <v>0.18303541340053245</v>
      </c>
      <c r="Y79" s="67">
        <f>Y78/Y$50</f>
        <v>0.18335068445186922</v>
      </c>
      <c r="AA79" s="67">
        <f>AA78/AA$50</f>
        <v>0.25565840584704996</v>
      </c>
      <c r="AC79" s="67">
        <f>AC78/AC$50</f>
        <v>0.29506391538486554</v>
      </c>
      <c r="AE79" s="67">
        <f>AE78/AE$50</f>
        <v>0.29449515932824616</v>
      </c>
      <c r="AG79" s="67">
        <f>AG78/AG$50</f>
        <v>0.2945577287514166</v>
      </c>
      <c r="AI79" s="67">
        <f>AI78/AI$50</f>
        <v>0.2970914806401999</v>
      </c>
      <c r="AK79" s="33">
        <f>AK78/AK$50</f>
        <v>0.20618034447821681</v>
      </c>
      <c r="AM79" s="33">
        <f>AM78/AM$50</f>
        <v>0.1839294008360427</v>
      </c>
    </row>
    <row r="81" spans="1:35" ht="13.5" customHeight="1">
      <c r="A81" s="4" t="s">
        <v>70</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row>
    <row r="82" ht="12.75">
      <c r="A82" s="3" t="str">
        <f>$A$2</f>
        <v>($ in millions, except per share data)</v>
      </c>
    </row>
    <row r="83" spans="7:35" ht="13.5" thickBot="1">
      <c r="G83" s="100" t="s">
        <v>71</v>
      </c>
      <c r="H83" s="100"/>
      <c r="I83" s="100"/>
      <c r="K83" s="100" t="s">
        <v>72</v>
      </c>
      <c r="L83" s="100"/>
      <c r="M83" s="100"/>
      <c r="O83" s="22" t="s">
        <v>73</v>
      </c>
      <c r="Q83" s="20" t="str">
        <f>Q263</f>
        <v>Projected Fiscal Years Ending September 30,</v>
      </c>
      <c r="R83" s="20"/>
      <c r="S83" s="20"/>
      <c r="T83" s="20"/>
      <c r="U83" s="20"/>
      <c r="V83" s="20"/>
      <c r="W83" s="20"/>
      <c r="X83" s="20"/>
      <c r="Y83" s="20"/>
      <c r="Z83" s="20"/>
      <c r="AA83" s="20"/>
      <c r="AB83" s="20"/>
      <c r="AC83" s="20"/>
      <c r="AD83" s="20"/>
      <c r="AE83" s="20"/>
      <c r="AF83" s="20"/>
      <c r="AG83" s="20"/>
      <c r="AH83" s="20"/>
      <c r="AI83" s="20"/>
    </row>
    <row r="84" spans="5:35" ht="12.75">
      <c r="E84" s="81"/>
      <c r="G84" s="81">
        <f>Q84-1</f>
        <v>0</v>
      </c>
      <c r="I84" s="81" t="str">
        <f>TEXT(ltm_date,"mmm d")</f>
        <v>Mar 31</v>
      </c>
      <c r="M84" s="22" t="s">
        <v>74</v>
      </c>
      <c r="O84" s="22" t="s">
        <v>75</v>
      </c>
      <c r="Q84" s="81">
        <f>Q264</f>
        <v>1</v>
      </c>
      <c r="S84" s="81">
        <f>S264</f>
        <v>2</v>
      </c>
      <c r="U84" s="81">
        <f>U264</f>
        <v>3</v>
      </c>
      <c r="W84" s="81">
        <f>W264</f>
        <v>4</v>
      </c>
      <c r="Y84" s="81">
        <f>Y264</f>
        <v>5</v>
      </c>
      <c r="AA84" s="81">
        <f>AA264</f>
        <v>6</v>
      </c>
      <c r="AC84" s="81">
        <f>AC264</f>
        <v>7</v>
      </c>
      <c r="AE84" s="81">
        <f>AE264</f>
        <v>8</v>
      </c>
      <c r="AG84" s="81">
        <f>AG264</f>
        <v>9</v>
      </c>
      <c r="AI84" s="81">
        <f>AI264</f>
        <v>10</v>
      </c>
    </row>
    <row r="85" spans="7:35" ht="13.5" thickBot="1">
      <c r="G85" s="82">
        <f>Q85-1</f>
        <v>2007</v>
      </c>
      <c r="I85" s="82" t="str">
        <f>TEXT(ltm_date,"YYYY")</f>
        <v>2008</v>
      </c>
      <c r="K85" s="82" t="s">
        <v>76</v>
      </c>
      <c r="M85" s="82" t="s">
        <v>66</v>
      </c>
      <c r="O85" s="101">
        <f>Y38</f>
        <v>39660</v>
      </c>
      <c r="Q85" s="82">
        <f>Q265</f>
        <v>2008</v>
      </c>
      <c r="S85" s="82">
        <f>S265</f>
        <v>2009</v>
      </c>
      <c r="U85" s="82">
        <f>U265</f>
        <v>2010</v>
      </c>
      <c r="W85" s="82">
        <f>W265</f>
        <v>2011</v>
      </c>
      <c r="Y85" s="82">
        <f>Y265</f>
        <v>2012</v>
      </c>
      <c r="AA85" s="82">
        <f>AA265</f>
        <v>2013</v>
      </c>
      <c r="AC85" s="82">
        <f>AC265</f>
        <v>2014</v>
      </c>
      <c r="AE85" s="82">
        <f>AE265</f>
        <v>2015</v>
      </c>
      <c r="AG85" s="82">
        <f>AG265</f>
        <v>2016</v>
      </c>
      <c r="AI85" s="82">
        <f>AI265</f>
        <v>2017</v>
      </c>
    </row>
    <row r="86" ht="12.75">
      <c r="A86" s="83" t="s">
        <v>77</v>
      </c>
    </row>
    <row r="87" spans="2:15" ht="12.75">
      <c r="B87" t="s">
        <v>78</v>
      </c>
      <c r="G87" s="77">
        <v>132.832</v>
      </c>
      <c r="I87" s="77">
        <v>146.606</v>
      </c>
      <c r="K87" s="76">
        <f>S324-S303</f>
        <v>-116.606</v>
      </c>
      <c r="O87" s="76">
        <f>SUM(I87:M87)</f>
        <v>30</v>
      </c>
    </row>
    <row r="88" spans="2:35" ht="12.75">
      <c r="B88" t="s">
        <v>79</v>
      </c>
      <c r="G88" s="38">
        <f>114.132+6.038</f>
        <v>120.17</v>
      </c>
      <c r="I88" s="38">
        <v>131.443</v>
      </c>
      <c r="O88" s="94">
        <f>SUM(I88:M88)</f>
        <v>131.443</v>
      </c>
      <c r="Q88" s="94">
        <f>Q188</f>
        <v>143.23034800190297</v>
      </c>
      <c r="S88" s="94">
        <f>S188</f>
        <v>146.32569933396766</v>
      </c>
      <c r="U88" s="94">
        <f>U188</f>
        <v>147.10735371075168</v>
      </c>
      <c r="W88" s="94">
        <f>W188</f>
        <v>148.57842724785917</v>
      </c>
      <c r="Y88" s="94">
        <f>Y188</f>
        <v>150.06421152033778</v>
      </c>
      <c r="AA88" s="94">
        <f>AA188</f>
        <v>151.56485363554114</v>
      </c>
      <c r="AC88" s="94">
        <f>AC188</f>
        <v>153.08050217189657</v>
      </c>
      <c r="AE88" s="94">
        <f>AE188</f>
        <v>154.61130719361554</v>
      </c>
      <c r="AG88" s="94">
        <f>AG188</f>
        <v>156.1574202655517</v>
      </c>
      <c r="AI88" s="94">
        <f>AI188</f>
        <v>157.71899446820723</v>
      </c>
    </row>
    <row r="89" spans="2:35" ht="12.75">
      <c r="B89" t="s">
        <v>80</v>
      </c>
      <c r="G89" s="38">
        <v>0</v>
      </c>
      <c r="I89" s="38">
        <v>0</v>
      </c>
      <c r="O89" s="94">
        <f>SUM(I89:M89)</f>
        <v>0</v>
      </c>
      <c r="Q89" s="94">
        <f aca="true" t="shared" si="8" ref="Q89:S91">Q189</f>
        <v>0</v>
      </c>
      <c r="S89" s="94">
        <f t="shared" si="8"/>
        <v>0</v>
      </c>
      <c r="U89" s="94">
        <f>U189</f>
        <v>0</v>
      </c>
      <c r="W89" s="94">
        <f>W189</f>
        <v>0</v>
      </c>
      <c r="Y89" s="94">
        <f>Y189</f>
        <v>0</v>
      </c>
      <c r="AA89" s="94">
        <f>AA189</f>
        <v>0</v>
      </c>
      <c r="AC89" s="94">
        <f>AC189</f>
        <v>0</v>
      </c>
      <c r="AE89" s="94">
        <f>AE189</f>
        <v>0</v>
      </c>
      <c r="AG89" s="94">
        <f>AG189</f>
        <v>0</v>
      </c>
      <c r="AI89" s="94">
        <f>AI189</f>
        <v>0</v>
      </c>
    </row>
    <row r="90" spans="2:35" ht="12.75">
      <c r="B90" t="s">
        <v>81</v>
      </c>
      <c r="G90" s="38">
        <v>10.657</v>
      </c>
      <c r="I90" s="38">
        <v>8.828</v>
      </c>
      <c r="O90" s="94">
        <f>SUM(I90:M90)</f>
        <v>8.828</v>
      </c>
      <c r="Q90" s="94">
        <f t="shared" si="8"/>
        <v>9.619664129400569</v>
      </c>
      <c r="S90" s="94">
        <f t="shared" si="8"/>
        <v>9.827554709800188</v>
      </c>
      <c r="U90" s="94">
        <f>U190</f>
        <v>9.880052331113223</v>
      </c>
      <c r="W90" s="94">
        <f>W190</f>
        <v>9.978852854424355</v>
      </c>
      <c r="Y90" s="94">
        <f>Y190</f>
        <v>10.078641382968598</v>
      </c>
      <c r="AA90" s="94">
        <f>AA190</f>
        <v>10.179427796798285</v>
      </c>
      <c r="AC90" s="94">
        <f>AC190</f>
        <v>10.28122207476627</v>
      </c>
      <c r="AE90" s="94">
        <f>AE190</f>
        <v>10.384034295513931</v>
      </c>
      <c r="AG90" s="94">
        <f>AG190</f>
        <v>10.487874638469071</v>
      </c>
      <c r="AI90" s="94">
        <f>AI190</f>
        <v>10.592753384853761</v>
      </c>
    </row>
    <row r="91" spans="2:35" ht="13.5" thickBot="1">
      <c r="B91" t="s">
        <v>82</v>
      </c>
      <c r="G91" s="38">
        <f>2.128+6.399</f>
        <v>8.527000000000001</v>
      </c>
      <c r="I91" s="38">
        <v>8.223</v>
      </c>
      <c r="O91" s="94">
        <f>SUM(I91:M91)</f>
        <v>8.223</v>
      </c>
      <c r="Q91" s="94">
        <f t="shared" si="8"/>
        <v>8.984180574555404</v>
      </c>
      <c r="S91" s="94">
        <f t="shared" si="8"/>
        <v>8.991679890560874</v>
      </c>
      <c r="U91" s="94">
        <f>U191</f>
        <v>9.081671682626537</v>
      </c>
      <c r="W91" s="94">
        <f>W191</f>
        <v>9.176238057455539</v>
      </c>
      <c r="Y91" s="94">
        <f>Y191</f>
        <v>9.27175009603283</v>
      </c>
      <c r="AA91" s="94">
        <f>AA191</f>
        <v>9.368217254995894</v>
      </c>
      <c r="AC91" s="94">
        <f>AC191</f>
        <v>9.46564908554859</v>
      </c>
      <c r="AE91" s="94">
        <f>AE191</f>
        <v>9.564055234406812</v>
      </c>
      <c r="AG91" s="94">
        <f>AG191</f>
        <v>9.663445444753615</v>
      </c>
      <c r="AI91" s="94">
        <f>AI191</f>
        <v>9.76382955720389</v>
      </c>
    </row>
    <row r="92" spans="3:35" ht="12.75">
      <c r="C92" t="s">
        <v>83</v>
      </c>
      <c r="G92" s="102">
        <f>SUM(G87:G91)</f>
        <v>272.186</v>
      </c>
      <c r="I92" s="102">
        <f>SUM(I87:I91)</f>
        <v>295.09999999999997</v>
      </c>
      <c r="O92" s="102">
        <f>SUM(O87:O91)</f>
        <v>178.49400000000003</v>
      </c>
      <c r="Q92" s="102">
        <f>SUM(Q87:Q91)</f>
        <v>161.83419270585895</v>
      </c>
      <c r="S92" s="102">
        <f>SUM(S87:S91)</f>
        <v>165.14493393432872</v>
      </c>
      <c r="U92" s="102">
        <f>SUM(U87:U91)</f>
        <v>166.06907772449145</v>
      </c>
      <c r="W92" s="102">
        <f>SUM(W87:W91)</f>
        <v>167.73351815973908</v>
      </c>
      <c r="Y92" s="102">
        <f>SUM(Y87:Y91)</f>
        <v>169.41460299933922</v>
      </c>
      <c r="AA92" s="102">
        <f>SUM(AA87:AA91)</f>
        <v>171.11249868733532</v>
      </c>
      <c r="AC92" s="102">
        <f>SUM(AC87:AC91)</f>
        <v>172.82737333221144</v>
      </c>
      <c r="AE92" s="102">
        <f>SUM(AE87:AE91)</f>
        <v>174.5593967235363</v>
      </c>
      <c r="AG92" s="102">
        <f>SUM(AG87:AG91)</f>
        <v>176.3087403487744</v>
      </c>
      <c r="AI92" s="102">
        <f>SUM(AI87:AI91)</f>
        <v>178.07557741026486</v>
      </c>
    </row>
    <row r="93" ht="4.5" customHeight="1"/>
    <row r="94" spans="2:15" ht="12.75">
      <c r="B94" t="s">
        <v>84</v>
      </c>
      <c r="G94" s="74">
        <f>G96-G95</f>
        <v>168.877</v>
      </c>
      <c r="I94" s="74">
        <f>I96-I95</f>
        <v>175.41400000000002</v>
      </c>
      <c r="M94" s="76">
        <f>AG21</f>
        <v>15</v>
      </c>
      <c r="O94" s="76">
        <f>SUM(I94:M94)</f>
        <v>190.41400000000002</v>
      </c>
    </row>
    <row r="95" spans="2:15" ht="13.5" thickBot="1">
      <c r="B95" t="s">
        <v>85</v>
      </c>
      <c r="G95" s="38">
        <f>-69.565-66.656</f>
        <v>-136.221</v>
      </c>
      <c r="I95" s="38">
        <f>-72.879-69.565</f>
        <v>-142.44400000000002</v>
      </c>
      <c r="O95" s="94">
        <f>SUM(I95:M95)</f>
        <v>-142.44400000000002</v>
      </c>
    </row>
    <row r="96" spans="3:15" ht="12.75">
      <c r="C96" t="s">
        <v>86</v>
      </c>
      <c r="G96" s="103">
        <v>32.656</v>
      </c>
      <c r="I96" s="103">
        <v>32.97</v>
      </c>
      <c r="O96" s="104">
        <f>SUM(O94:O95)</f>
        <v>47.97</v>
      </c>
    </row>
    <row r="97" ht="4.5" customHeight="1"/>
    <row r="98" spans="2:15" ht="12.75">
      <c r="B98" t="s">
        <v>87</v>
      </c>
      <c r="G98" s="91">
        <v>0</v>
      </c>
      <c r="I98" s="91">
        <v>0</v>
      </c>
      <c r="O98" s="105">
        <f aca="true" t="shared" si="9" ref="O98:O103">SUM(I98:M98)</f>
        <v>0</v>
      </c>
    </row>
    <row r="99" spans="2:15" ht="12.75">
      <c r="B99" t="s">
        <v>88</v>
      </c>
      <c r="G99" s="38">
        <v>0</v>
      </c>
      <c r="I99" s="38">
        <v>0</v>
      </c>
      <c r="K99" s="37">
        <f>S331</f>
        <v>6.4375</v>
      </c>
      <c r="O99" s="39">
        <f t="shared" si="9"/>
        <v>6.4375</v>
      </c>
    </row>
    <row r="100" spans="2:15" ht="12.75">
      <c r="B100" t="s">
        <v>89</v>
      </c>
      <c r="G100" s="38">
        <v>60.745</v>
      </c>
      <c r="I100" s="38">
        <v>61.094</v>
      </c>
      <c r="M100" s="39">
        <f>IF(LBO=1,AG23+goodwill,0)</f>
        <v>379.7989942812499</v>
      </c>
      <c r="O100" s="39">
        <f t="shared" si="9"/>
        <v>440.8929942812499</v>
      </c>
    </row>
    <row r="101" spans="2:15" ht="12.75">
      <c r="B101" t="s">
        <v>90</v>
      </c>
      <c r="G101" s="38">
        <f>31.526+8.649</f>
        <v>40.175</v>
      </c>
      <c r="I101" s="38">
        <v>37.491</v>
      </c>
      <c r="M101" s="37">
        <f>AG22</f>
        <v>116.28328187499997</v>
      </c>
      <c r="O101" s="39">
        <f t="shared" si="9"/>
        <v>153.77428187499999</v>
      </c>
    </row>
    <row r="102" spans="2:15" ht="12.75">
      <c r="B102" t="s">
        <v>91</v>
      </c>
      <c r="G102" s="38">
        <v>0</v>
      </c>
      <c r="I102" s="38">
        <v>0</v>
      </c>
      <c r="O102" s="39">
        <f t="shared" si="9"/>
        <v>0</v>
      </c>
    </row>
    <row r="103" spans="2:15" ht="13.5" thickBot="1">
      <c r="B103" t="s">
        <v>92</v>
      </c>
      <c r="G103" s="38">
        <f>9.453+7.173</f>
        <v>16.625999999999998</v>
      </c>
      <c r="I103" s="38">
        <v>14.29</v>
      </c>
      <c r="O103" s="39">
        <f t="shared" si="9"/>
        <v>14.29</v>
      </c>
    </row>
    <row r="104" spans="1:15" ht="13.5" thickBot="1">
      <c r="A104" s="10"/>
      <c r="B104" s="10"/>
      <c r="C104" s="10" t="s">
        <v>93</v>
      </c>
      <c r="G104" s="106">
        <f>SUM(G96:G103)+G92</f>
        <v>422.388</v>
      </c>
      <c r="I104" s="106">
        <f>SUM(I96:I103)+I92</f>
        <v>440.94499999999994</v>
      </c>
      <c r="O104" s="106">
        <f>SUM(O96:O103)+O92</f>
        <v>841.85877615625</v>
      </c>
    </row>
    <row r="105" ht="13.5" thickTop="1"/>
    <row r="106" ht="12.75">
      <c r="A106" s="83" t="s">
        <v>94</v>
      </c>
    </row>
    <row r="107" spans="2:15" ht="12.75">
      <c r="B107" t="s">
        <v>95</v>
      </c>
      <c r="G107" s="77">
        <v>0</v>
      </c>
      <c r="I107" s="77">
        <v>0</v>
      </c>
      <c r="K107" s="107">
        <f>-I107</f>
        <v>0</v>
      </c>
      <c r="O107" s="107">
        <f>SUM(I107:M107)</f>
        <v>0</v>
      </c>
    </row>
    <row r="108" spans="2:35" ht="12.75">
      <c r="B108" t="s">
        <v>96</v>
      </c>
      <c r="G108" s="38">
        <v>18.429</v>
      </c>
      <c r="I108" s="38">
        <v>20.662</v>
      </c>
      <c r="O108" s="39">
        <f>SUM(I108:M108)</f>
        <v>20.662</v>
      </c>
      <c r="Q108" s="39">
        <f>Q194</f>
        <v>22.574624715002276</v>
      </c>
      <c r="S108" s="39">
        <f>S194</f>
        <v>22.593468308253527</v>
      </c>
      <c r="U108" s="39">
        <f>U194</f>
        <v>22.819591427268573</v>
      </c>
      <c r="W108" s="39">
        <f>W194</f>
        <v>23.057209138166886</v>
      </c>
      <c r="Y108" s="39">
        <f>Y194</f>
        <v>23.297203026174184</v>
      </c>
      <c r="AA108" s="39">
        <f>AA194</f>
        <v>23.53959685306155</v>
      </c>
      <c r="AC108" s="39">
        <f>AC194</f>
        <v>23.784414618217795</v>
      </c>
      <c r="AE108" s="39">
        <f>AE194</f>
        <v>24.0316805610256</v>
      </c>
      <c r="AG108" s="39">
        <f>AG194</f>
        <v>24.281419163261482</v>
      </c>
      <c r="AI108" s="39">
        <f>AI194</f>
        <v>24.533655151519728</v>
      </c>
    </row>
    <row r="109" spans="2:35" ht="12.75">
      <c r="B109" t="s">
        <v>97</v>
      </c>
      <c r="G109" s="38">
        <f>21.042</f>
        <v>21.042</v>
      </c>
      <c r="I109" s="38">
        <v>15.38</v>
      </c>
      <c r="O109" s="39">
        <f>SUM(I109:M109)</f>
        <v>15.38</v>
      </c>
      <c r="Q109" s="39">
        <f aca="true" t="shared" si="10" ref="Q109:S111">Q195</f>
        <v>16.803684450524393</v>
      </c>
      <c r="S109" s="39">
        <f t="shared" si="10"/>
        <v>16.81771089831281</v>
      </c>
      <c r="U109" s="39">
        <f>U195</f>
        <v>16.986028271773822</v>
      </c>
      <c r="W109" s="39">
        <f>W195</f>
        <v>17.16290177838577</v>
      </c>
      <c r="Y109" s="39">
        <f>Y195</f>
        <v>17.341544020063836</v>
      </c>
      <c r="AA109" s="39">
        <f>AA195</f>
        <v>17.521972684158683</v>
      </c>
      <c r="AC109" s="39">
        <f>AC195</f>
        <v>17.70420563489448</v>
      </c>
      <c r="AE109" s="39">
        <f>AE195</f>
        <v>17.888260915137632</v>
      </c>
      <c r="AG109" s="39">
        <f>AG195</f>
        <v>18.074156748183217</v>
      </c>
      <c r="AI109" s="39">
        <f>AI195</f>
        <v>18.26191153955926</v>
      </c>
    </row>
    <row r="110" spans="2:35" ht="12.75">
      <c r="B110" t="s">
        <v>98</v>
      </c>
      <c r="G110" s="38">
        <v>26.657</v>
      </c>
      <c r="I110" s="38">
        <v>0</v>
      </c>
      <c r="O110" s="39">
        <f>SUM(I110:M110)</f>
        <v>0</v>
      </c>
      <c r="Q110" s="39">
        <f t="shared" si="10"/>
        <v>0</v>
      </c>
      <c r="S110" s="39">
        <f t="shared" si="10"/>
        <v>0</v>
      </c>
      <c r="U110" s="39">
        <f>U196</f>
        <v>0</v>
      </c>
      <c r="W110" s="39">
        <f>W196</f>
        <v>0</v>
      </c>
      <c r="Y110" s="39">
        <f>Y196</f>
        <v>0</v>
      </c>
      <c r="AA110" s="39">
        <f>AA196</f>
        <v>0</v>
      </c>
      <c r="AC110" s="39">
        <f>AC196</f>
        <v>0</v>
      </c>
      <c r="AE110" s="39">
        <f>AE196</f>
        <v>0</v>
      </c>
      <c r="AG110" s="39">
        <f>AG196</f>
        <v>0</v>
      </c>
      <c r="AI110" s="39">
        <f>AI196</f>
        <v>0</v>
      </c>
    </row>
    <row r="111" spans="2:35" ht="13.5" thickBot="1">
      <c r="B111" t="s">
        <v>99</v>
      </c>
      <c r="G111" s="38">
        <f>7.595+17.48</f>
        <v>25.075</v>
      </c>
      <c r="I111" s="38">
        <v>59.132999999999996</v>
      </c>
      <c r="O111" s="39">
        <f>SUM(I111:M111)</f>
        <v>59.132999999999996</v>
      </c>
      <c r="Q111" s="39">
        <f t="shared" si="10"/>
        <v>64.60677975376197</v>
      </c>
      <c r="S111" s="39">
        <f t="shared" si="10"/>
        <v>64.66070861833104</v>
      </c>
      <c r="U111" s="39">
        <f>U197</f>
        <v>65.30785499316003</v>
      </c>
      <c r="W111" s="39">
        <f>W197</f>
        <v>65.98789797537619</v>
      </c>
      <c r="Y111" s="39">
        <f>Y197</f>
        <v>66.67474138741449</v>
      </c>
      <c r="AA111" s="39">
        <f>AA197</f>
        <v>67.36845323357316</v>
      </c>
      <c r="AC111" s="39">
        <f>AC197</f>
        <v>68.06910219819345</v>
      </c>
      <c r="AE111" s="39">
        <f>AE197</f>
        <v>68.77675765245992</v>
      </c>
      <c r="AG111" s="39">
        <f>AG197</f>
        <v>69.49148966126906</v>
      </c>
      <c r="AI111" s="39">
        <f>AI197</f>
        <v>70.2133689901663</v>
      </c>
    </row>
    <row r="112" spans="3:35" ht="12.75">
      <c r="C112" t="s">
        <v>100</v>
      </c>
      <c r="G112" s="108">
        <f>SUM(G107:G111)</f>
        <v>91.203</v>
      </c>
      <c r="I112" s="108">
        <f>SUM(I107:I111)</f>
        <v>95.175</v>
      </c>
      <c r="O112" s="108">
        <f>SUM(O107:O111)</f>
        <v>95.175</v>
      </c>
      <c r="Q112" s="108">
        <f>SUM(Q107:Q111)</f>
        <v>103.98508891928864</v>
      </c>
      <c r="S112" s="108">
        <f>SUM(S107:S111)</f>
        <v>104.07188782489737</v>
      </c>
      <c r="U112" s="108">
        <f>SUM(U107:U111)</f>
        <v>105.11347469220243</v>
      </c>
      <c r="W112" s="108">
        <f>SUM(W107:W111)</f>
        <v>106.20800889192884</v>
      </c>
      <c r="Y112" s="108">
        <f>SUM(Y107:Y111)</f>
        <v>107.31348843365251</v>
      </c>
      <c r="AA112" s="108">
        <f>SUM(AA107:AA111)</f>
        <v>108.4300227707934</v>
      </c>
      <c r="AC112" s="108">
        <f>SUM(AC107:AC111)</f>
        <v>109.55772245130572</v>
      </c>
      <c r="AE112" s="108">
        <f>SUM(AE107:AE111)</f>
        <v>110.69669912862315</v>
      </c>
      <c r="AG112" s="108">
        <f>SUM(AG107:AG111)</f>
        <v>111.84706557271376</v>
      </c>
      <c r="AI112" s="108">
        <f>SUM(AI107:AI111)</f>
        <v>113.00893568124529</v>
      </c>
    </row>
    <row r="113" ht="4.5" customHeight="1"/>
    <row r="114" spans="2:15" ht="12.75">
      <c r="B114" t="s">
        <v>81</v>
      </c>
      <c r="G114" s="77">
        <v>0</v>
      </c>
      <c r="I114" s="77">
        <v>0</v>
      </c>
      <c r="M114" s="37">
        <f>-SUM(AG24:AG25)</f>
        <v>45.94914865624999</v>
      </c>
      <c r="O114" s="107">
        <f>SUM(I114:M114)</f>
        <v>45.94914865624999</v>
      </c>
    </row>
    <row r="115" spans="2:15" ht="12.75">
      <c r="B115" t="s">
        <v>101</v>
      </c>
      <c r="G115" s="38">
        <v>0</v>
      </c>
      <c r="I115" s="38">
        <v>0</v>
      </c>
      <c r="O115" s="39">
        <f>SUM(I115:M115)</f>
        <v>0</v>
      </c>
    </row>
    <row r="116" spans="2:15" ht="12.75">
      <c r="B116" t="s">
        <v>102</v>
      </c>
      <c r="G116" s="38">
        <f>9.79+4.918+3.953</f>
        <v>18.660999999999998</v>
      </c>
      <c r="I116" s="38">
        <v>17.917</v>
      </c>
      <c r="O116" s="39">
        <f>SUM(I116:M116)</f>
        <v>17.917</v>
      </c>
    </row>
    <row r="117" ht="4.5" customHeight="1"/>
    <row r="118" spans="2:15" ht="13.5" customHeight="1">
      <c r="B118" t="s">
        <v>182</v>
      </c>
      <c r="G118" s="38">
        <v>0</v>
      </c>
      <c r="I118" s="38">
        <v>0</v>
      </c>
      <c r="K118" s="37">
        <f>S306</f>
        <v>0</v>
      </c>
      <c r="O118" s="39">
        <f>SUM(I118:M118)</f>
        <v>0</v>
      </c>
    </row>
    <row r="119" spans="2:15" ht="13.5" customHeight="1">
      <c r="B119" t="s">
        <v>103</v>
      </c>
      <c r="G119" s="38">
        <v>230</v>
      </c>
      <c r="I119" s="38">
        <v>230</v>
      </c>
      <c r="K119" s="37">
        <f>IF(refi=1,-I119,I107)</f>
        <v>0</v>
      </c>
      <c r="O119" s="39">
        <f>SUM(I119:M119)</f>
        <v>230</v>
      </c>
    </row>
    <row r="120" spans="2:15" ht="13.5" customHeight="1">
      <c r="B120" t="str">
        <f aca="true" t="shared" si="11" ref="B120:B125">B307</f>
        <v>Term Loan - A</v>
      </c>
      <c r="G120" s="38">
        <v>0</v>
      </c>
      <c r="I120" s="38">
        <v>0</v>
      </c>
      <c r="K120" s="37">
        <f aca="true" t="shared" si="12" ref="K120:K125">S307</f>
        <v>150</v>
      </c>
      <c r="O120" s="39">
        <f aca="true" t="shared" si="13" ref="O120:O125">SUM(I120:M120)</f>
        <v>150</v>
      </c>
    </row>
    <row r="121" spans="2:15" ht="13.5" customHeight="1">
      <c r="B121" t="str">
        <f t="shared" si="11"/>
        <v>Term Loan - B</v>
      </c>
      <c r="G121" s="38">
        <v>0</v>
      </c>
      <c r="I121" s="38">
        <v>0</v>
      </c>
      <c r="K121" s="37">
        <f t="shared" si="12"/>
        <v>0</v>
      </c>
      <c r="O121" s="39">
        <f t="shared" si="13"/>
        <v>0</v>
      </c>
    </row>
    <row r="122" spans="2:15" ht="13.5" customHeight="1">
      <c r="B122" t="str">
        <f t="shared" si="11"/>
        <v>Senior Note</v>
      </c>
      <c r="G122" s="38">
        <v>0</v>
      </c>
      <c r="I122" s="38">
        <v>0</v>
      </c>
      <c r="K122" s="37">
        <f t="shared" si="12"/>
        <v>75</v>
      </c>
      <c r="O122" s="39">
        <f t="shared" si="13"/>
        <v>75</v>
      </c>
    </row>
    <row r="123" spans="2:15" ht="13.5" customHeight="1">
      <c r="B123" t="str">
        <f t="shared" si="11"/>
        <v>Subordinated Note</v>
      </c>
      <c r="G123" s="38">
        <v>0</v>
      </c>
      <c r="I123" s="38">
        <v>0</v>
      </c>
      <c r="K123" s="37">
        <f t="shared" si="12"/>
        <v>0</v>
      </c>
      <c r="O123" s="39">
        <f t="shared" si="13"/>
        <v>0</v>
      </c>
    </row>
    <row r="124" spans="2:15" ht="13.5" customHeight="1">
      <c r="B124" t="str">
        <f t="shared" si="11"/>
        <v>Mezzanine</v>
      </c>
      <c r="G124" s="38">
        <v>0</v>
      </c>
      <c r="I124" s="38">
        <v>0</v>
      </c>
      <c r="K124" s="37">
        <f t="shared" si="12"/>
        <v>0</v>
      </c>
      <c r="O124" s="39">
        <f t="shared" si="13"/>
        <v>0</v>
      </c>
    </row>
    <row r="125" spans="2:15" ht="13.5" customHeight="1" thickBot="1">
      <c r="B125" t="str">
        <f t="shared" si="11"/>
        <v>Seller Note</v>
      </c>
      <c r="G125" s="38">
        <v>0</v>
      </c>
      <c r="I125" s="38">
        <v>0</v>
      </c>
      <c r="K125" s="37">
        <f t="shared" si="12"/>
        <v>0</v>
      </c>
      <c r="O125" s="39">
        <f t="shared" si="13"/>
        <v>0</v>
      </c>
    </row>
    <row r="126" spans="1:15" ht="12.75">
      <c r="A126" s="24"/>
      <c r="B126" s="24"/>
      <c r="C126" s="24" t="s">
        <v>104</v>
      </c>
      <c r="G126" s="108">
        <f>SUM(G112:G119)</f>
        <v>339.86400000000003</v>
      </c>
      <c r="I126" s="108">
        <f>SUM(I112:I119)</f>
        <v>343.092</v>
      </c>
      <c r="O126" s="108">
        <f>SUM(O112:O125)</f>
        <v>614.04114865625</v>
      </c>
    </row>
    <row r="128" ht="12.75">
      <c r="A128" s="83" t="s">
        <v>105</v>
      </c>
    </row>
    <row r="129" spans="2:15" ht="12.75">
      <c r="B129" t="s">
        <v>106</v>
      </c>
      <c r="G129" s="77">
        <v>82.524</v>
      </c>
      <c r="I129" s="77">
        <v>97.8530000000001</v>
      </c>
      <c r="M129" s="76">
        <f>-I129</f>
        <v>-97.8530000000001</v>
      </c>
      <c r="O129" s="107">
        <f aca="true" t="shared" si="14" ref="O129:O138">SUM(I129:M129)</f>
        <v>0</v>
      </c>
    </row>
    <row r="130" spans="2:15" ht="12.75">
      <c r="B130" t="s">
        <v>220</v>
      </c>
      <c r="G130" s="38">
        <v>0</v>
      </c>
      <c r="I130" s="38">
        <v>0</v>
      </c>
      <c r="K130" s="37">
        <f>-S328</f>
        <v>0</v>
      </c>
      <c r="O130" s="39">
        <f t="shared" si="14"/>
        <v>0</v>
      </c>
    </row>
    <row r="131" spans="2:15" ht="12.75">
      <c r="B131" t="str">
        <f>B313</f>
        <v>Preferred Stock - A</v>
      </c>
      <c r="G131" s="38">
        <v>0</v>
      </c>
      <c r="I131" s="38">
        <v>0</v>
      </c>
      <c r="K131" s="37">
        <f aca="true" t="shared" si="15" ref="K131:K136">S313</f>
        <v>10</v>
      </c>
      <c r="O131" s="39">
        <f t="shared" si="14"/>
        <v>10</v>
      </c>
    </row>
    <row r="132" spans="2:15" ht="12.75">
      <c r="B132" t="str">
        <f>B314</f>
        <v>Preferred Stock - B</v>
      </c>
      <c r="G132" s="38">
        <v>0</v>
      </c>
      <c r="I132" s="38">
        <v>0</v>
      </c>
      <c r="K132" s="37">
        <f t="shared" si="15"/>
        <v>0</v>
      </c>
      <c r="O132" s="39">
        <f t="shared" si="14"/>
        <v>0</v>
      </c>
    </row>
    <row r="133" spans="2:15" ht="12.75">
      <c r="B133" t="str">
        <f>B315</f>
        <v>Common - Sponsor</v>
      </c>
      <c r="G133" s="38">
        <v>0</v>
      </c>
      <c r="I133" s="38">
        <v>0</v>
      </c>
      <c r="K133" s="37">
        <f t="shared" si="15"/>
        <v>233.6364471574999</v>
      </c>
      <c r="O133" s="39">
        <f t="shared" si="14"/>
        <v>233.6364471574999</v>
      </c>
    </row>
    <row r="134" spans="2:15" ht="12.75">
      <c r="B134" t="str">
        <f>B316</f>
        <v>Management Rollover</v>
      </c>
      <c r="G134" s="38">
        <v>0</v>
      </c>
      <c r="I134" s="38">
        <v>0</v>
      </c>
      <c r="K134" s="37">
        <f t="shared" si="15"/>
        <v>0</v>
      </c>
      <c r="O134" s="39">
        <f t="shared" si="14"/>
        <v>0</v>
      </c>
    </row>
    <row r="135" spans="2:15" ht="12.75">
      <c r="B135" t="str">
        <f>B317</f>
        <v>Investor Rollover</v>
      </c>
      <c r="G135" s="38">
        <v>0</v>
      </c>
      <c r="I135" s="38">
        <v>0</v>
      </c>
      <c r="K135" s="37">
        <f t="shared" si="15"/>
        <v>0</v>
      </c>
      <c r="O135" s="39">
        <f t="shared" si="14"/>
        <v>0</v>
      </c>
    </row>
    <row r="136" spans="2:15" ht="12.75">
      <c r="B136" t="s">
        <v>66</v>
      </c>
      <c r="G136" s="38">
        <v>0</v>
      </c>
      <c r="I136" s="38">
        <v>0</v>
      </c>
      <c r="K136" s="37">
        <f t="shared" si="15"/>
        <v>0</v>
      </c>
      <c r="O136" s="39">
        <f t="shared" si="14"/>
        <v>0</v>
      </c>
    </row>
    <row r="137" spans="2:15" ht="12.75">
      <c r="B137" t="s">
        <v>107</v>
      </c>
      <c r="G137" s="38">
        <v>0</v>
      </c>
      <c r="I137" s="38">
        <v>0</v>
      </c>
      <c r="O137" s="39">
        <f t="shared" si="14"/>
        <v>0</v>
      </c>
    </row>
    <row r="138" spans="2:15" ht="13.5" thickBot="1">
      <c r="B138" t="s">
        <v>108</v>
      </c>
      <c r="G138" s="38">
        <v>0</v>
      </c>
      <c r="I138" s="38">
        <v>0</v>
      </c>
      <c r="M138" s="37">
        <f>-S330</f>
        <v>-15.818819657499999</v>
      </c>
      <c r="O138" s="39">
        <f t="shared" si="14"/>
        <v>-15.818819657499999</v>
      </c>
    </row>
    <row r="139" spans="3:15" ht="12.75">
      <c r="C139" t="s">
        <v>109</v>
      </c>
      <c r="G139" s="108">
        <f>SUM(G129:G138)</f>
        <v>82.524</v>
      </c>
      <c r="I139" s="108">
        <f>SUM(I129:I138)</f>
        <v>97.8530000000001</v>
      </c>
      <c r="O139" s="108">
        <f>SUM(O129:O138)</f>
        <v>227.8176274999999</v>
      </c>
    </row>
    <row r="140" ht="13.5" thickBot="1"/>
    <row r="141" spans="3:15" s="10" customFormat="1" ht="13.5" thickBot="1">
      <c r="C141" s="10" t="s">
        <v>110</v>
      </c>
      <c r="G141" s="106">
        <f>G139+G126</f>
        <v>422.38800000000003</v>
      </c>
      <c r="I141" s="106">
        <f>I139+I126</f>
        <v>440.94500000000005</v>
      </c>
      <c r="O141" s="106">
        <f>O139+O126</f>
        <v>841.8587761562499</v>
      </c>
    </row>
    <row r="142" ht="13.5" thickTop="1"/>
    <row r="143" spans="1:15" s="19" customFormat="1" ht="12.75">
      <c r="A143" s="19" t="s">
        <v>111</v>
      </c>
      <c r="G143" s="109">
        <f>G141-G104</f>
        <v>0</v>
      </c>
      <c r="I143" s="109">
        <f>I141-I104</f>
        <v>0</v>
      </c>
      <c r="O143" s="109">
        <f>O141-O104</f>
        <v>0</v>
      </c>
    </row>
    <row r="145" spans="1:35" ht="12.75">
      <c r="A145" s="4" t="s">
        <v>241</v>
      </c>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row>
    <row r="146" ht="12.75">
      <c r="A146" s="3" t="str">
        <f>$A$2</f>
        <v>($ in millions, except per share data)</v>
      </c>
    </row>
    <row r="147" spans="15:35" ht="13.5" thickBot="1">
      <c r="O147" s="22" t="str">
        <f>O$46</f>
        <v>2 Mos.</v>
      </c>
      <c r="Q147" s="20" t="str">
        <f>Q$263</f>
        <v>Projected Fiscal Years Ending September 30,</v>
      </c>
      <c r="R147" s="20"/>
      <c r="S147" s="20"/>
      <c r="T147" s="20"/>
      <c r="U147" s="20"/>
      <c r="V147" s="20"/>
      <c r="W147" s="20"/>
      <c r="X147" s="20"/>
      <c r="Y147" s="20"/>
      <c r="Z147" s="20"/>
      <c r="AA147" s="20"/>
      <c r="AB147" s="20"/>
      <c r="AC147" s="20"/>
      <c r="AD147" s="20"/>
      <c r="AE147" s="20"/>
      <c r="AF147" s="20"/>
      <c r="AG147" s="20"/>
      <c r="AH147" s="20"/>
      <c r="AI147" s="20"/>
    </row>
    <row r="148" spans="15:35" ht="12.75">
      <c r="O148" s="22" t="str">
        <f>O$47</f>
        <v>Ending</v>
      </c>
      <c r="Q148" s="81">
        <f>Q$264</f>
        <v>1</v>
      </c>
      <c r="S148" s="81">
        <f>S$264</f>
        <v>2</v>
      </c>
      <c r="U148" s="81">
        <f>U$264</f>
        <v>3</v>
      </c>
      <c r="W148" s="81">
        <f>W$264</f>
        <v>4</v>
      </c>
      <c r="Y148" s="81">
        <f>Y$264</f>
        <v>5</v>
      </c>
      <c r="AA148" s="81">
        <f>AA$264</f>
        <v>6</v>
      </c>
      <c r="AC148" s="81">
        <f>AC$264</f>
        <v>7</v>
      </c>
      <c r="AE148" s="81">
        <f>AE$264</f>
        <v>8</v>
      </c>
      <c r="AG148" s="81">
        <f>AG$264</f>
        <v>9</v>
      </c>
      <c r="AI148" s="81">
        <f>AI$264</f>
        <v>10</v>
      </c>
    </row>
    <row r="149" spans="15:35" ht="13.5" thickBot="1">
      <c r="O149" s="97" t="str">
        <f>O$48</f>
        <v>9/30/2008</v>
      </c>
      <c r="Q149" s="82">
        <f>Q$265</f>
        <v>2008</v>
      </c>
      <c r="S149" s="82">
        <f>S$265</f>
        <v>2009</v>
      </c>
      <c r="U149" s="82">
        <f>U$265</f>
        <v>2010</v>
      </c>
      <c r="W149" s="82">
        <f>W$265</f>
        <v>2011</v>
      </c>
      <c r="Y149" s="82">
        <f>Y$265</f>
        <v>2012</v>
      </c>
      <c r="AA149" s="82">
        <f>AA$265</f>
        <v>2013</v>
      </c>
      <c r="AC149" s="82">
        <f>AC$265</f>
        <v>2014</v>
      </c>
      <c r="AE149" s="82">
        <f>AE$265</f>
        <v>2015</v>
      </c>
      <c r="AG149" s="82">
        <f>AG$265</f>
        <v>2016</v>
      </c>
      <c r="AI149" s="82">
        <f>AI$265</f>
        <v>2017</v>
      </c>
    </row>
    <row r="150" ht="4.5" customHeight="1"/>
    <row r="151" spans="1:35" ht="12.75">
      <c r="A151" t="s">
        <v>242</v>
      </c>
      <c r="O151" s="159">
        <f>libor</f>
        <v>0.0278</v>
      </c>
      <c r="Q151" s="127">
        <v>0.03451</v>
      </c>
      <c r="R151" s="127"/>
      <c r="S151" s="127">
        <v>0.0403</v>
      </c>
      <c r="T151" s="127"/>
      <c r="U151" s="127">
        <v>0.0436</v>
      </c>
      <c r="V151" s="127"/>
      <c r="W151" s="127">
        <v>0.0465</v>
      </c>
      <c r="X151" s="127"/>
      <c r="Y151" s="127">
        <v>0.0481</v>
      </c>
      <c r="Z151" s="127"/>
      <c r="AA151" s="127">
        <v>0.0495</v>
      </c>
      <c r="AB151" s="127"/>
      <c r="AC151" s="127">
        <v>0.0505</v>
      </c>
      <c r="AD151" s="127"/>
      <c r="AE151" s="127">
        <v>0.0508</v>
      </c>
      <c r="AF151" s="127"/>
      <c r="AG151" s="127">
        <v>0.0515</v>
      </c>
      <c r="AH151" s="127"/>
      <c r="AI151" s="127">
        <v>0.0513</v>
      </c>
    </row>
    <row r="152" spans="15:35" ht="12.75">
      <c r="O152" s="159"/>
      <c r="Q152" s="127"/>
      <c r="R152" s="127"/>
      <c r="S152" s="127"/>
      <c r="T152" s="127"/>
      <c r="U152" s="127"/>
      <c r="V152" s="127"/>
      <c r="W152" s="127"/>
      <c r="X152" s="127"/>
      <c r="Y152" s="127"/>
      <c r="Z152" s="127"/>
      <c r="AA152" s="127"/>
      <c r="AB152" s="127"/>
      <c r="AC152" s="127"/>
      <c r="AD152" s="127"/>
      <c r="AE152" s="127"/>
      <c r="AF152" s="127"/>
      <c r="AG152" s="127"/>
      <c r="AH152" s="127"/>
      <c r="AI152" s="127"/>
    </row>
    <row r="153" spans="1:35" ht="13.5" thickBot="1">
      <c r="A153" s="83" t="s">
        <v>243</v>
      </c>
      <c r="M153" s="161" t="s">
        <v>246</v>
      </c>
      <c r="O153" s="159"/>
      <c r="Q153" s="127"/>
      <c r="R153" s="127"/>
      <c r="S153" s="127"/>
      <c r="T153" s="127"/>
      <c r="U153" s="127"/>
      <c r="V153" s="127"/>
      <c r="W153" s="127"/>
      <c r="X153" s="127"/>
      <c r="Y153" s="127"/>
      <c r="Z153" s="127"/>
      <c r="AA153" s="127"/>
      <c r="AB153" s="127"/>
      <c r="AC153" s="127"/>
      <c r="AD153" s="127"/>
      <c r="AE153" s="127"/>
      <c r="AF153" s="127"/>
      <c r="AG153" s="127"/>
      <c r="AH153" s="127"/>
      <c r="AI153" s="127"/>
    </row>
    <row r="154" spans="1:35" ht="12.75">
      <c r="A154" s="83"/>
      <c r="B154" t="s">
        <v>244</v>
      </c>
      <c r="M154" s="162"/>
      <c r="O154" s="159">
        <f>AO21</f>
        <v>0.025</v>
      </c>
      <c r="Q154" s="159">
        <f>O154</f>
        <v>0.025</v>
      </c>
      <c r="R154" s="127"/>
      <c r="S154" s="159">
        <f>Q154</f>
        <v>0.025</v>
      </c>
      <c r="T154" s="127"/>
      <c r="U154" s="159">
        <f>S154</f>
        <v>0.025</v>
      </c>
      <c r="V154" s="127"/>
      <c r="W154" s="159">
        <f>U154</f>
        <v>0.025</v>
      </c>
      <c r="X154" s="127"/>
      <c r="Y154" s="159">
        <f>W154</f>
        <v>0.025</v>
      </c>
      <c r="Z154" s="127"/>
      <c r="AA154" s="159">
        <f>Y154</f>
        <v>0.025</v>
      </c>
      <c r="AB154" s="127"/>
      <c r="AC154" s="159">
        <f>AA154</f>
        <v>0.025</v>
      </c>
      <c r="AD154" s="127"/>
      <c r="AE154" s="159">
        <f>AC154</f>
        <v>0.025</v>
      </c>
      <c r="AF154" s="127"/>
      <c r="AG154" s="159">
        <f>AE154</f>
        <v>0.025</v>
      </c>
      <c r="AH154" s="127"/>
      <c r="AI154" s="159">
        <f>AG154</f>
        <v>0.025</v>
      </c>
    </row>
    <row r="155" spans="2:35" ht="12.75">
      <c r="B155" t="str">
        <f>B306</f>
        <v>Revolver</v>
      </c>
      <c r="M155" s="134">
        <v>0.0425</v>
      </c>
      <c r="O155" s="163">
        <f>$M155+O$151</f>
        <v>0.0703</v>
      </c>
      <c r="Q155" s="163">
        <f>$M155+Q$151</f>
        <v>0.07701</v>
      </c>
      <c r="R155" s="127"/>
      <c r="S155" s="163">
        <f>$M155+S$151</f>
        <v>0.08280000000000001</v>
      </c>
      <c r="T155" s="127"/>
      <c r="U155" s="163">
        <f>$M155+U$151</f>
        <v>0.08610000000000001</v>
      </c>
      <c r="V155" s="127"/>
      <c r="W155" s="163">
        <f>$M155+W$151</f>
        <v>0.089</v>
      </c>
      <c r="X155" s="127"/>
      <c r="Y155" s="163">
        <f>$M155+Y$151</f>
        <v>0.0906</v>
      </c>
      <c r="Z155" s="127"/>
      <c r="AA155" s="163">
        <f>$M155+AA$151</f>
        <v>0.092</v>
      </c>
      <c r="AB155" s="127"/>
      <c r="AC155" s="163">
        <f>$M155+AC$151</f>
        <v>0.093</v>
      </c>
      <c r="AD155" s="127"/>
      <c r="AE155" s="163">
        <f>$M155+AE$151</f>
        <v>0.0933</v>
      </c>
      <c r="AF155" s="127"/>
      <c r="AG155" s="163">
        <f>$M155+AG$151</f>
        <v>0.094</v>
      </c>
      <c r="AH155" s="127"/>
      <c r="AI155" s="163">
        <f>$M155+AI$151</f>
        <v>0.0938</v>
      </c>
    </row>
    <row r="156" spans="2:35" ht="12.75">
      <c r="B156" t="str">
        <f aca="true" t="shared" si="16" ref="B156:B163">B307</f>
        <v>Term Loan - A</v>
      </c>
      <c r="M156" s="134">
        <v>0.0479</v>
      </c>
      <c r="O156" s="163">
        <f aca="true" t="shared" si="17" ref="O156:AI158">$M156+O$151</f>
        <v>0.07569999999999999</v>
      </c>
      <c r="Q156" s="163">
        <f t="shared" si="17"/>
        <v>0.08241</v>
      </c>
      <c r="R156" s="127"/>
      <c r="S156" s="163">
        <f t="shared" si="17"/>
        <v>0.0882</v>
      </c>
      <c r="T156" s="127"/>
      <c r="U156" s="163">
        <f t="shared" si="17"/>
        <v>0.0915</v>
      </c>
      <c r="V156" s="127"/>
      <c r="W156" s="163">
        <f t="shared" si="17"/>
        <v>0.0944</v>
      </c>
      <c r="X156" s="127"/>
      <c r="Y156" s="163">
        <f t="shared" si="17"/>
        <v>0.096</v>
      </c>
      <c r="Z156" s="127"/>
      <c r="AA156" s="163">
        <f t="shared" si="17"/>
        <v>0.0974</v>
      </c>
      <c r="AB156" s="127"/>
      <c r="AC156" s="163">
        <f t="shared" si="17"/>
        <v>0.0984</v>
      </c>
      <c r="AD156" s="127"/>
      <c r="AE156" s="163">
        <f t="shared" si="17"/>
        <v>0.0987</v>
      </c>
      <c r="AF156" s="127"/>
      <c r="AG156" s="163">
        <f t="shared" si="17"/>
        <v>0.09939999999999999</v>
      </c>
      <c r="AH156" s="127"/>
      <c r="AI156" s="163">
        <f t="shared" si="17"/>
        <v>0.0992</v>
      </c>
    </row>
    <row r="157" spans="2:35" ht="12.75">
      <c r="B157" t="str">
        <f t="shared" si="16"/>
        <v>Term Loan - B</v>
      </c>
      <c r="M157" s="134">
        <v>0.06</v>
      </c>
      <c r="O157" s="163">
        <f t="shared" si="17"/>
        <v>0.08779999999999999</v>
      </c>
      <c r="Q157" s="163">
        <f t="shared" si="17"/>
        <v>0.09451</v>
      </c>
      <c r="R157" s="127"/>
      <c r="S157" s="163">
        <f t="shared" si="17"/>
        <v>0.1003</v>
      </c>
      <c r="T157" s="127"/>
      <c r="U157" s="163">
        <f t="shared" si="17"/>
        <v>0.1036</v>
      </c>
      <c r="V157" s="127"/>
      <c r="W157" s="163">
        <f t="shared" si="17"/>
        <v>0.1065</v>
      </c>
      <c r="X157" s="127"/>
      <c r="Y157" s="163">
        <f t="shared" si="17"/>
        <v>0.1081</v>
      </c>
      <c r="Z157" s="127"/>
      <c r="AA157" s="163">
        <f t="shared" si="17"/>
        <v>0.1095</v>
      </c>
      <c r="AB157" s="127"/>
      <c r="AC157" s="163">
        <f t="shared" si="17"/>
        <v>0.1105</v>
      </c>
      <c r="AD157" s="127"/>
      <c r="AE157" s="163">
        <f t="shared" si="17"/>
        <v>0.1108</v>
      </c>
      <c r="AF157" s="127"/>
      <c r="AG157" s="163">
        <f t="shared" si="17"/>
        <v>0.11149999999999999</v>
      </c>
      <c r="AH157" s="127"/>
      <c r="AI157" s="163">
        <f t="shared" si="17"/>
        <v>0.1113</v>
      </c>
    </row>
    <row r="158" spans="2:35" ht="12.75">
      <c r="B158" t="str">
        <f t="shared" si="16"/>
        <v>Senior Note</v>
      </c>
      <c r="M158" s="134">
        <v>0.065</v>
      </c>
      <c r="O158" s="163">
        <f t="shared" si="17"/>
        <v>0.0928</v>
      </c>
      <c r="Q158" s="163">
        <f t="shared" si="17"/>
        <v>0.09951</v>
      </c>
      <c r="R158" s="127"/>
      <c r="S158" s="163">
        <f t="shared" si="17"/>
        <v>0.1053</v>
      </c>
      <c r="T158" s="127"/>
      <c r="U158" s="163">
        <f t="shared" si="17"/>
        <v>0.1086</v>
      </c>
      <c r="V158" s="127"/>
      <c r="W158" s="163">
        <f t="shared" si="17"/>
        <v>0.1115</v>
      </c>
      <c r="X158" s="127"/>
      <c r="Y158" s="163">
        <f t="shared" si="17"/>
        <v>0.1131</v>
      </c>
      <c r="Z158" s="127"/>
      <c r="AA158" s="163">
        <f t="shared" si="17"/>
        <v>0.1145</v>
      </c>
      <c r="AB158" s="127"/>
      <c r="AC158" s="163">
        <f t="shared" si="17"/>
        <v>0.1155</v>
      </c>
      <c r="AD158" s="127"/>
      <c r="AE158" s="163">
        <f t="shared" si="17"/>
        <v>0.1158</v>
      </c>
      <c r="AF158" s="127"/>
      <c r="AG158" s="163">
        <f t="shared" si="17"/>
        <v>0.11649999999999999</v>
      </c>
      <c r="AH158" s="127"/>
      <c r="AI158" s="163">
        <f t="shared" si="17"/>
        <v>0.1163</v>
      </c>
    </row>
    <row r="159" spans="2:35" ht="12.75">
      <c r="B159" t="str">
        <f t="shared" si="16"/>
        <v>Subordinated Note</v>
      </c>
      <c r="O159" s="164">
        <v>0.1025</v>
      </c>
      <c r="Q159" s="159">
        <f>O159</f>
        <v>0.1025</v>
      </c>
      <c r="R159" s="127"/>
      <c r="S159" s="159">
        <f>Q159</f>
        <v>0.1025</v>
      </c>
      <c r="T159" s="127"/>
      <c r="U159" s="159">
        <f>S159</f>
        <v>0.1025</v>
      </c>
      <c r="V159" s="127"/>
      <c r="W159" s="159">
        <f>U159</f>
        <v>0.1025</v>
      </c>
      <c r="X159" s="127"/>
      <c r="Y159" s="159">
        <f>W159</f>
        <v>0.1025</v>
      </c>
      <c r="Z159" s="127"/>
      <c r="AA159" s="159">
        <f>Y159</f>
        <v>0.1025</v>
      </c>
      <c r="AB159" s="127"/>
      <c r="AC159" s="159">
        <f>AA159</f>
        <v>0.1025</v>
      </c>
      <c r="AD159" s="127"/>
      <c r="AE159" s="159">
        <f>AC159</f>
        <v>0.1025</v>
      </c>
      <c r="AF159" s="127"/>
      <c r="AG159" s="159">
        <f>AE159</f>
        <v>0.1025</v>
      </c>
      <c r="AH159" s="127"/>
      <c r="AI159" s="159">
        <f>AG159</f>
        <v>0.1025</v>
      </c>
    </row>
    <row r="160" spans="2:35" ht="12.75">
      <c r="B160" t="str">
        <f t="shared" si="16"/>
        <v>Mezzanine</v>
      </c>
      <c r="O160" s="164">
        <v>0.105</v>
      </c>
      <c r="Q160" s="159">
        <f aca="true" t="shared" si="18" ref="Q160:AI163">O160</f>
        <v>0.105</v>
      </c>
      <c r="R160" s="127"/>
      <c r="S160" s="159">
        <f t="shared" si="18"/>
        <v>0.105</v>
      </c>
      <c r="T160" s="127"/>
      <c r="U160" s="159">
        <f t="shared" si="18"/>
        <v>0.105</v>
      </c>
      <c r="V160" s="127"/>
      <c r="W160" s="159">
        <f t="shared" si="18"/>
        <v>0.105</v>
      </c>
      <c r="X160" s="127"/>
      <c r="Y160" s="159">
        <f t="shared" si="18"/>
        <v>0.105</v>
      </c>
      <c r="Z160" s="127"/>
      <c r="AA160" s="159">
        <f t="shared" si="18"/>
        <v>0.105</v>
      </c>
      <c r="AB160" s="127"/>
      <c r="AC160" s="159">
        <f t="shared" si="18"/>
        <v>0.105</v>
      </c>
      <c r="AD160" s="127"/>
      <c r="AE160" s="159">
        <f t="shared" si="18"/>
        <v>0.105</v>
      </c>
      <c r="AF160" s="127"/>
      <c r="AG160" s="159">
        <f t="shared" si="18"/>
        <v>0.105</v>
      </c>
      <c r="AH160" s="127"/>
      <c r="AI160" s="159">
        <f t="shared" si="18"/>
        <v>0.105</v>
      </c>
    </row>
    <row r="161" spans="2:35" ht="12.75">
      <c r="B161" t="str">
        <f t="shared" si="16"/>
        <v>Seller Note</v>
      </c>
      <c r="O161" s="164">
        <v>0.105</v>
      </c>
      <c r="Q161" s="159">
        <f t="shared" si="18"/>
        <v>0.105</v>
      </c>
      <c r="R161" s="127"/>
      <c r="S161" s="159">
        <f t="shared" si="18"/>
        <v>0.105</v>
      </c>
      <c r="T161" s="127"/>
      <c r="U161" s="159">
        <f t="shared" si="18"/>
        <v>0.105</v>
      </c>
      <c r="V161" s="127"/>
      <c r="W161" s="159">
        <f t="shared" si="18"/>
        <v>0.105</v>
      </c>
      <c r="X161" s="127"/>
      <c r="Y161" s="159">
        <f t="shared" si="18"/>
        <v>0.105</v>
      </c>
      <c r="Z161" s="127"/>
      <c r="AA161" s="159">
        <f t="shared" si="18"/>
        <v>0.105</v>
      </c>
      <c r="AB161" s="127"/>
      <c r="AC161" s="159">
        <f t="shared" si="18"/>
        <v>0.105</v>
      </c>
      <c r="AD161" s="127"/>
      <c r="AE161" s="159">
        <f t="shared" si="18"/>
        <v>0.105</v>
      </c>
      <c r="AF161" s="127"/>
      <c r="AG161" s="159">
        <f t="shared" si="18"/>
        <v>0.105</v>
      </c>
      <c r="AH161" s="127"/>
      <c r="AI161" s="159">
        <f t="shared" si="18"/>
        <v>0.105</v>
      </c>
    </row>
    <row r="162" spans="2:35" ht="12.75">
      <c r="B162" t="str">
        <f t="shared" si="16"/>
        <v>Preferred Stock - A</v>
      </c>
      <c r="O162" s="164">
        <v>0.14</v>
      </c>
      <c r="Q162" s="159">
        <f t="shared" si="18"/>
        <v>0.14</v>
      </c>
      <c r="S162" s="159">
        <f t="shared" si="18"/>
        <v>0.14</v>
      </c>
      <c r="U162" s="159">
        <f t="shared" si="18"/>
        <v>0.14</v>
      </c>
      <c r="W162" s="159">
        <f t="shared" si="18"/>
        <v>0.14</v>
      </c>
      <c r="Y162" s="159">
        <f t="shared" si="18"/>
        <v>0.14</v>
      </c>
      <c r="AA162" s="159">
        <f t="shared" si="18"/>
        <v>0.14</v>
      </c>
      <c r="AC162" s="159">
        <f t="shared" si="18"/>
        <v>0.14</v>
      </c>
      <c r="AE162" s="159">
        <f t="shared" si="18"/>
        <v>0.14</v>
      </c>
      <c r="AG162" s="159">
        <f t="shared" si="18"/>
        <v>0.14</v>
      </c>
      <c r="AI162" s="159">
        <f t="shared" si="18"/>
        <v>0.14</v>
      </c>
    </row>
    <row r="163" spans="2:35" ht="12.75">
      <c r="B163" t="str">
        <f t="shared" si="16"/>
        <v>Preferred Stock - B</v>
      </c>
      <c r="O163" s="164">
        <v>0.1425</v>
      </c>
      <c r="Q163" s="159">
        <f t="shared" si="18"/>
        <v>0.1425</v>
      </c>
      <c r="S163" s="159">
        <f t="shared" si="18"/>
        <v>0.1425</v>
      </c>
      <c r="U163" s="159">
        <f t="shared" si="18"/>
        <v>0.1425</v>
      </c>
      <c r="W163" s="159">
        <f t="shared" si="18"/>
        <v>0.1425</v>
      </c>
      <c r="Y163" s="159">
        <f t="shared" si="18"/>
        <v>0.1425</v>
      </c>
      <c r="AA163" s="159">
        <f t="shared" si="18"/>
        <v>0.1425</v>
      </c>
      <c r="AC163" s="159">
        <f t="shared" si="18"/>
        <v>0.1425</v>
      </c>
      <c r="AE163" s="159">
        <f t="shared" si="18"/>
        <v>0.1425</v>
      </c>
      <c r="AG163" s="159">
        <f t="shared" si="18"/>
        <v>0.1425</v>
      </c>
      <c r="AI163" s="159">
        <f t="shared" si="18"/>
        <v>0.1425</v>
      </c>
    </row>
    <row r="165" spans="2:7" ht="12.75">
      <c r="B165" t="s">
        <v>245</v>
      </c>
      <c r="G165" s="127">
        <v>0.005</v>
      </c>
    </row>
    <row r="167" ht="12.75">
      <c r="A167" s="83" t="s">
        <v>248</v>
      </c>
    </row>
    <row r="168" spans="5:13" ht="12.75">
      <c r="E168" s="110" t="s">
        <v>249</v>
      </c>
      <c r="G168" s="110" t="s">
        <v>250</v>
      </c>
      <c r="M168" s="6"/>
    </row>
    <row r="169" spans="5:13" ht="13.5" thickBot="1">
      <c r="E169" s="161" t="s">
        <v>251</v>
      </c>
      <c r="G169" s="161" t="s">
        <v>252</v>
      </c>
      <c r="I169" s="161" t="s">
        <v>253</v>
      </c>
      <c r="K169" s="161" t="s">
        <v>254</v>
      </c>
      <c r="M169" s="161" t="s">
        <v>255</v>
      </c>
    </row>
    <row r="170" spans="2:35" ht="12.75">
      <c r="B170" t="s">
        <v>244</v>
      </c>
      <c r="E170" s="37">
        <f>S304</f>
        <v>230</v>
      </c>
      <c r="G170" s="166">
        <v>0</v>
      </c>
      <c r="I170" s="129">
        <v>0</v>
      </c>
      <c r="J170" s="6"/>
      <c r="K170" s="167">
        <v>5</v>
      </c>
      <c r="L170" s="6"/>
      <c r="M170" s="167">
        <v>0</v>
      </c>
      <c r="O170" s="168">
        <f aca="true" t="shared" si="19" ref="O170:O176">stub*G170</f>
        <v>0</v>
      </c>
      <c r="Q170" s="168">
        <f>O170</f>
        <v>0</v>
      </c>
      <c r="S170" s="168">
        <f>IF(S$148&lt;=$K170,MIN($G170,1-SUM($Q170:Q170)),1-SUM($Q170:Q170))</f>
        <v>0</v>
      </c>
      <c r="U170" s="168">
        <f>IF(U$148&lt;=$K170,MIN($G170,1-SUM($Q170:S170)),1-SUM($Q170:S170))</f>
        <v>0</v>
      </c>
      <c r="W170" s="168">
        <f>IF(W$148&lt;=$K170,MIN($G170,1-SUM($Q170:U170)),1-SUM($Q170:U170))</f>
        <v>0</v>
      </c>
      <c r="Y170" s="168">
        <f>IF(Y$148&lt;=$K170,MIN($G170,1-SUM($Q170:W170)),1-SUM($Q170:W170))</f>
        <v>0</v>
      </c>
      <c r="AA170" s="168">
        <f>IF(AA$148&lt;=$K170,MIN($G170,1-SUM($Q170:Y170)),1-SUM($Q170:Y170))</f>
        <v>1</v>
      </c>
      <c r="AC170" s="168">
        <f>IF(AC$148&lt;=$K170,MIN($G170,1-SUM($Q170:AA170)),1-SUM($Q170:AA170))</f>
        <v>0</v>
      </c>
      <c r="AE170" s="168">
        <f>IF(AE$148&lt;=$K170,MIN($G170,1-SUM($Q170:AC170)),1-SUM($Q170:AC170))</f>
        <v>0</v>
      </c>
      <c r="AG170" s="168">
        <f>IF(AG$148&lt;=$K170,MIN($G170,1-SUM($Q170:AE170)),1-SUM($Q170:AE170))</f>
        <v>0</v>
      </c>
      <c r="AI170" s="168">
        <f>IF(AI$148&lt;=$K170,MIN($G170,1-SUM($Q170:AG170)),1-SUM($Q170:AG170))</f>
        <v>0</v>
      </c>
    </row>
    <row r="171" spans="2:35" ht="12.75">
      <c r="B171" t="str">
        <f aca="true" t="shared" si="20" ref="B171:B176">B307</f>
        <v>Term Loan - A</v>
      </c>
      <c r="E171" s="37">
        <f aca="true" t="shared" si="21" ref="E171:E176">S307</f>
        <v>150</v>
      </c>
      <c r="G171" s="35">
        <f>1/5</f>
        <v>0.2</v>
      </c>
      <c r="I171" s="129">
        <v>1</v>
      </c>
      <c r="J171" s="6"/>
      <c r="K171" s="167">
        <v>5</v>
      </c>
      <c r="L171" s="6"/>
      <c r="M171" s="167">
        <v>0</v>
      </c>
      <c r="O171" s="168">
        <f t="shared" si="19"/>
        <v>0.03333333333333333</v>
      </c>
      <c r="Q171" s="168">
        <f aca="true" t="shared" si="22" ref="Q171:Q176">O171</f>
        <v>0.03333333333333333</v>
      </c>
      <c r="S171" s="168">
        <f>IF(S$148&lt;=$K171,MIN($G171,1-SUM($Q171:Q171)),1-SUM($Q171:Q171))</f>
        <v>0.2</v>
      </c>
      <c r="U171" s="168">
        <f>IF(U$148&lt;=$K171,MIN($G171,1-SUM($Q171:S171)),1-SUM($Q171:S171))</f>
        <v>0.2</v>
      </c>
      <c r="W171" s="168">
        <f>IF(W$148&lt;=$K171,MIN($G171,1-SUM($Q171:U171)),1-SUM($Q171:U171))</f>
        <v>0.2</v>
      </c>
      <c r="Y171" s="168">
        <f>IF(Y$148&lt;=$K171,MIN($G171,1-SUM($Q171:W171)),1-SUM($Q171:W171))</f>
        <v>0.2</v>
      </c>
      <c r="AA171" s="168">
        <f>IF(AA$148&lt;=$K171,MIN($G171,1-SUM($Q171:Y171)),1-SUM($Q171:Y171))</f>
        <v>0.16666666666666674</v>
      </c>
      <c r="AC171" s="168">
        <f>IF(AC$148&lt;=$K171,MIN($G171,1-SUM($Q171:AA171)),1-SUM($Q171:AA171))</f>
        <v>0</v>
      </c>
      <c r="AE171" s="168">
        <f>IF(AE$148&lt;=$K171,MIN($G171,1-SUM($Q171:AC171)),1-SUM($Q171:AC171))</f>
        <v>0</v>
      </c>
      <c r="AG171" s="168">
        <f>IF(AG$148&lt;=$K171,MIN($G171,1-SUM($Q171:AE171)),1-SUM($Q171:AE171))</f>
        <v>0</v>
      </c>
      <c r="AI171" s="168">
        <f>IF(AI$148&lt;=$K171,MIN($G171,1-SUM($Q171:AG171)),1-SUM($Q171:AG171))</f>
        <v>0</v>
      </c>
    </row>
    <row r="172" spans="2:35" ht="12.75">
      <c r="B172" t="str">
        <f t="shared" si="20"/>
        <v>Term Loan - B</v>
      </c>
      <c r="E172" s="37">
        <f t="shared" si="21"/>
        <v>0</v>
      </c>
      <c r="G172" s="35">
        <v>0.05</v>
      </c>
      <c r="I172" s="129">
        <v>1</v>
      </c>
      <c r="J172" s="6"/>
      <c r="K172" s="167">
        <v>6</v>
      </c>
      <c r="L172" s="6"/>
      <c r="M172" s="167">
        <v>0</v>
      </c>
      <c r="O172" s="168">
        <f t="shared" si="19"/>
        <v>0.008333333333333333</v>
      </c>
      <c r="Q172" s="168">
        <f t="shared" si="22"/>
        <v>0.008333333333333333</v>
      </c>
      <c r="S172" s="168">
        <f>IF(S$148&lt;=$K172,MIN($G172,1-SUM($Q172:Q172)),1-SUM($Q172:Q172))</f>
        <v>0.05</v>
      </c>
      <c r="U172" s="168">
        <f>IF(U$148&lt;=$K172,MIN($G172,1-SUM($Q172:S172)),1-SUM($Q172:S172))</f>
        <v>0.05</v>
      </c>
      <c r="W172" s="168">
        <f>IF(W$148&lt;=$K172,MIN($G172,1-SUM($Q172:U172)),1-SUM($Q172:U172))</f>
        <v>0.05</v>
      </c>
      <c r="Y172" s="168">
        <f>IF(Y$148&lt;=$K172,MIN($G172,1-SUM($Q172:W172)),1-SUM($Q172:W172))</f>
        <v>0.05</v>
      </c>
      <c r="AA172" s="168">
        <f>IF(AA$148&lt;=$K172,MIN($G172,1-SUM($Q172:Y172)),1-SUM($Q172:Y172))</f>
        <v>0.05</v>
      </c>
      <c r="AC172" s="168">
        <f>IF(AC$148&lt;=$K172,MIN($G172,1-SUM($Q172:AA172)),1-SUM($Q172:AA172))</f>
        <v>0.7416666666666667</v>
      </c>
      <c r="AE172" s="168">
        <f>IF(AE$148&lt;=$K172,MIN($G172,1-SUM($Q172:AC172)),1-SUM($Q172:AC172))</f>
        <v>0</v>
      </c>
      <c r="AG172" s="168">
        <f>IF(AG$148&lt;=$K172,MIN($G172,1-SUM($Q172:AE172)),1-SUM($Q172:AE172))</f>
        <v>0</v>
      </c>
      <c r="AI172" s="168">
        <f>IF(AI$148&lt;=$K172,MIN($G172,1-SUM($Q172:AG172)),1-SUM($Q172:AG172))</f>
        <v>0</v>
      </c>
    </row>
    <row r="173" spans="2:35" ht="12.75">
      <c r="B173" t="str">
        <f t="shared" si="20"/>
        <v>Senior Note</v>
      </c>
      <c r="E173" s="37">
        <f t="shared" si="21"/>
        <v>75</v>
      </c>
      <c r="G173" s="35">
        <v>0</v>
      </c>
      <c r="I173" s="129">
        <v>0</v>
      </c>
      <c r="J173" s="6"/>
      <c r="K173" s="167">
        <v>4</v>
      </c>
      <c r="L173" s="6"/>
      <c r="M173" s="167">
        <v>0</v>
      </c>
      <c r="O173" s="168">
        <f t="shared" si="19"/>
        <v>0</v>
      </c>
      <c r="Q173" s="168">
        <f t="shared" si="22"/>
        <v>0</v>
      </c>
      <c r="S173" s="168">
        <f>IF(S$148&lt;=$K173,MIN($G173,1-SUM($Q173:Q173)),1-SUM($Q173:Q173))</f>
        <v>0</v>
      </c>
      <c r="U173" s="168">
        <f>IF(U$148&lt;=$K173,MIN($G173,1-SUM($Q173:S173)),1-SUM($Q173:S173))</f>
        <v>0</v>
      </c>
      <c r="W173" s="168">
        <f>IF(W$148&lt;=$K173,MIN($G173,1-SUM($Q173:U173)),1-SUM($Q173:U173))</f>
        <v>0</v>
      </c>
      <c r="Y173" s="168">
        <f>IF(Y$148&lt;=$K173,MIN($G173,1-SUM($Q173:W173)),1-SUM($Q173:W173))</f>
        <v>1</v>
      </c>
      <c r="AA173" s="168">
        <f>IF(AA$148&lt;=$K173,MIN($G173,1-SUM($Q173:Y173)),1-SUM($Q173:Y173))</f>
        <v>0</v>
      </c>
      <c r="AC173" s="168">
        <f>IF(AC$148&lt;=$K173,MIN($G173,1-SUM($Q173:AA173)),1-SUM($Q173:AA173))</f>
        <v>0</v>
      </c>
      <c r="AE173" s="168">
        <f>IF(AE$148&lt;=$K173,MIN($G173,1-SUM($Q173:AC173)),1-SUM($Q173:AC173))</f>
        <v>0</v>
      </c>
      <c r="AG173" s="168">
        <f>IF(AG$148&lt;=$K173,MIN($G173,1-SUM($Q173:AE173)),1-SUM($Q173:AE173))</f>
        <v>0</v>
      </c>
      <c r="AI173" s="168">
        <f>IF(AI$148&lt;=$K173,MIN($G173,1-SUM($Q173:AG173)),1-SUM($Q173:AG173))</f>
        <v>0</v>
      </c>
    </row>
    <row r="174" spans="2:35" ht="12.75">
      <c r="B174" t="str">
        <f t="shared" si="20"/>
        <v>Subordinated Note</v>
      </c>
      <c r="E174" s="37">
        <f t="shared" si="21"/>
        <v>0</v>
      </c>
      <c r="G174" s="35">
        <v>0</v>
      </c>
      <c r="I174" s="129">
        <v>0</v>
      </c>
      <c r="J174" s="6"/>
      <c r="K174" s="167">
        <v>4</v>
      </c>
      <c r="L174" s="6"/>
      <c r="M174" s="167">
        <v>5</v>
      </c>
      <c r="O174" s="168">
        <f t="shared" si="19"/>
        <v>0</v>
      </c>
      <c r="Q174" s="168">
        <f t="shared" si="22"/>
        <v>0</v>
      </c>
      <c r="S174" s="168">
        <f>IF(S$148&lt;=$K174,MIN($G174,1-SUM($Q174:Q174)),1-SUM($Q174:Q174))</f>
        <v>0</v>
      </c>
      <c r="U174" s="168">
        <f>IF(U$148&lt;=$K174,MIN($G174,1-SUM($Q174:S174)),1-SUM($Q174:S174))</f>
        <v>0</v>
      </c>
      <c r="W174" s="168">
        <f>IF(W$148&lt;=$K174,MIN($G174,1-SUM($Q174:U174)),1-SUM($Q174:U174))</f>
        <v>0</v>
      </c>
      <c r="Y174" s="168">
        <f>IF(Y$148&lt;=$K174,MIN($G174,1-SUM($Q174:W174)),1-SUM($Q174:W174))</f>
        <v>1</v>
      </c>
      <c r="AA174" s="168">
        <f>IF(AA$148&lt;=$K174,MIN($G174,1-SUM($Q174:Y174)),1-SUM($Q174:Y174))</f>
        <v>0</v>
      </c>
      <c r="AC174" s="168">
        <f>IF(AC$148&lt;=$K174,MIN($G174,1-SUM($Q174:AA174)),1-SUM($Q174:AA174))</f>
        <v>0</v>
      </c>
      <c r="AE174" s="168">
        <f>IF(AE$148&lt;=$K174,MIN($G174,1-SUM($Q174:AC174)),1-SUM($Q174:AC174))</f>
        <v>0</v>
      </c>
      <c r="AG174" s="168">
        <f>IF(AG$148&lt;=$K174,MIN($G174,1-SUM($Q174:AE174)),1-SUM($Q174:AE174))</f>
        <v>0</v>
      </c>
      <c r="AI174" s="168">
        <f>IF(AI$148&lt;=$K174,MIN($G174,1-SUM($Q174:AG174)),1-SUM($Q174:AG174))</f>
        <v>0</v>
      </c>
    </row>
    <row r="175" spans="2:35" ht="12.75">
      <c r="B175" t="str">
        <f t="shared" si="20"/>
        <v>Mezzanine</v>
      </c>
      <c r="E175" s="37">
        <f t="shared" si="21"/>
        <v>0</v>
      </c>
      <c r="G175" s="35">
        <v>0</v>
      </c>
      <c r="I175" s="129">
        <v>0</v>
      </c>
      <c r="J175" s="6"/>
      <c r="K175" s="167">
        <v>0</v>
      </c>
      <c r="L175" s="6"/>
      <c r="M175" s="167">
        <v>0</v>
      </c>
      <c r="O175" s="168">
        <f t="shared" si="19"/>
        <v>0</v>
      </c>
      <c r="Q175" s="168">
        <f t="shared" si="22"/>
        <v>0</v>
      </c>
      <c r="S175" s="168">
        <f>IF(S$148&lt;=$K175,MIN($G175,1-SUM($Q175:Q175)),1-SUM($Q175:Q175))</f>
        <v>1</v>
      </c>
      <c r="U175" s="168">
        <f>IF(U$148&lt;=$K175,MIN($G175,1-SUM($Q175:S175)),1-SUM($Q175:S175))</f>
        <v>0</v>
      </c>
      <c r="W175" s="168">
        <f>IF(W$148&lt;=$K175,MIN($G175,1-SUM($Q175:U175)),1-SUM($Q175:U175))</f>
        <v>0</v>
      </c>
      <c r="Y175" s="168">
        <f>IF(Y$148&lt;=$K175,MIN($G175,1-SUM($Q175:W175)),1-SUM($Q175:W175))</f>
        <v>0</v>
      </c>
      <c r="AA175" s="168">
        <f>IF(AA$148&lt;=$K175,MIN($G175,1-SUM($Q175:Y175)),1-SUM($Q175:Y175))</f>
        <v>0</v>
      </c>
      <c r="AC175" s="168">
        <f>IF(AC$148&lt;=$K175,MIN($G175,1-SUM($Q175:AA175)),1-SUM($Q175:AA175))</f>
        <v>0</v>
      </c>
      <c r="AE175" s="168">
        <f>IF(AE$148&lt;=$K175,MIN($G175,1-SUM($Q175:AC175)),1-SUM($Q175:AC175))</f>
        <v>0</v>
      </c>
      <c r="AG175" s="168">
        <f>IF(AG$148&lt;=$K175,MIN($G175,1-SUM($Q175:AE175)),1-SUM($Q175:AE175))</f>
        <v>0</v>
      </c>
      <c r="AI175" s="168">
        <f>IF(AI$148&lt;=$K175,MIN($G175,1-SUM($Q175:AG175)),1-SUM($Q175:AG175))</f>
        <v>0</v>
      </c>
    </row>
    <row r="176" spans="2:35" ht="12.75">
      <c r="B176" t="str">
        <f t="shared" si="20"/>
        <v>Seller Note</v>
      </c>
      <c r="E176" s="37">
        <f t="shared" si="21"/>
        <v>0</v>
      </c>
      <c r="G176" s="35">
        <v>0</v>
      </c>
      <c r="I176" s="129">
        <v>1</v>
      </c>
      <c r="J176" s="6"/>
      <c r="K176" s="167">
        <v>8</v>
      </c>
      <c r="L176" s="6"/>
      <c r="M176" s="167">
        <v>2</v>
      </c>
      <c r="O176" s="168">
        <f t="shared" si="19"/>
        <v>0</v>
      </c>
      <c r="Q176" s="168">
        <f t="shared" si="22"/>
        <v>0</v>
      </c>
      <c r="S176" s="168">
        <f>IF(S$148&lt;=$K176,MIN($G176,1-SUM($Q176:Q176)),1-SUM($Q176:Q176))</f>
        <v>0</v>
      </c>
      <c r="U176" s="168">
        <f>IF(U$148&lt;=$K176,MIN($G176,1-SUM($Q176:S176)),1-SUM($Q176:S176))</f>
        <v>0</v>
      </c>
      <c r="W176" s="168">
        <f>IF(W$148&lt;=$K176,MIN($G176,1-SUM($Q176:U176)),1-SUM($Q176:U176))</f>
        <v>0</v>
      </c>
      <c r="Y176" s="168">
        <f>IF(Y$148&lt;=$K176,MIN($G176,1-SUM($Q176:W176)),1-SUM($Q176:W176))</f>
        <v>0</v>
      </c>
      <c r="AA176" s="168">
        <f>IF(AA$148&lt;=$K176,MIN($G176,1-SUM($Q176:Y176)),1-SUM($Q176:Y176))</f>
        <v>0</v>
      </c>
      <c r="AC176" s="168">
        <f>IF(AC$148&lt;=$K176,MIN($G176,1-SUM($Q176:AA176)),1-SUM($Q176:AA176))</f>
        <v>0</v>
      </c>
      <c r="AE176" s="168">
        <f>IF(AE$148&lt;=$K176,MIN($G176,1-SUM($Q176:AC176)),1-SUM($Q176:AC176))</f>
        <v>0</v>
      </c>
      <c r="AG176" s="168">
        <f>IF(AG$148&lt;=$K176,MIN($G176,1-SUM($Q176:AE176)),1-SUM($Q176:AE176))</f>
        <v>1</v>
      </c>
      <c r="AI176" s="168">
        <f>IF(AI$148&lt;=$K176,MIN($G176,1-SUM($Q176:AG176)),1-SUM($Q176:AG176))</f>
        <v>0</v>
      </c>
    </row>
    <row r="178" spans="1:35" ht="12.75">
      <c r="A178" s="4" t="s">
        <v>302</v>
      </c>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ht="12.75">
      <c r="A179" s="3" t="str">
        <f>$A$2</f>
        <v>($ in millions, except per share data)</v>
      </c>
    </row>
    <row r="180" spans="15:35" ht="13.5" thickBot="1">
      <c r="O180" s="82" t="s">
        <v>71</v>
      </c>
      <c r="Q180" s="20" t="str">
        <f>Q$263</f>
        <v>Projected Fiscal Years Ending September 30,</v>
      </c>
      <c r="R180" s="20"/>
      <c r="S180" s="20"/>
      <c r="T180" s="20"/>
      <c r="U180" s="20"/>
      <c r="V180" s="20"/>
      <c r="W180" s="20"/>
      <c r="X180" s="20"/>
      <c r="Y180" s="20"/>
      <c r="Z180" s="20"/>
      <c r="AA180" s="20"/>
      <c r="AB180" s="20"/>
      <c r="AC180" s="20"/>
      <c r="AD180" s="20"/>
      <c r="AE180" s="20"/>
      <c r="AF180" s="20"/>
      <c r="AG180" s="20"/>
      <c r="AH180" s="20"/>
      <c r="AI180" s="20"/>
    </row>
    <row r="181" spans="15:35" ht="12.75">
      <c r="O181" s="81" t="s">
        <v>69</v>
      </c>
      <c r="Q181" s="81">
        <f>Q$264</f>
        <v>1</v>
      </c>
      <c r="S181" s="81">
        <f>S$264</f>
        <v>2</v>
      </c>
      <c r="U181" s="81">
        <f>U$264</f>
        <v>3</v>
      </c>
      <c r="W181" s="81">
        <f>W$264</f>
        <v>4</v>
      </c>
      <c r="Y181" s="81">
        <f>Y$264</f>
        <v>5</v>
      </c>
      <c r="AA181" s="81">
        <f>AA$264</f>
        <v>6</v>
      </c>
      <c r="AC181" s="81">
        <f>AC$264</f>
        <v>7</v>
      </c>
      <c r="AE181" s="81">
        <f>AE$264</f>
        <v>8</v>
      </c>
      <c r="AG181" s="81">
        <f>AG$264</f>
        <v>9</v>
      </c>
      <c r="AI181" s="81">
        <f>AI$264</f>
        <v>10</v>
      </c>
    </row>
    <row r="182" spans="15:35" ht="13.5" thickBot="1">
      <c r="O182" s="99">
        <f>ltm_date</f>
        <v>39538</v>
      </c>
      <c r="Q182" s="82">
        <f>Q$265</f>
        <v>2008</v>
      </c>
      <c r="S182" s="82">
        <f>S$265</f>
        <v>2009</v>
      </c>
      <c r="U182" s="82">
        <f>U$265</f>
        <v>2010</v>
      </c>
      <c r="W182" s="82">
        <f>W$265</f>
        <v>2011</v>
      </c>
      <c r="Y182" s="82">
        <f>Y$265</f>
        <v>2012</v>
      </c>
      <c r="AA182" s="82">
        <f>AA$265</f>
        <v>2013</v>
      </c>
      <c r="AC182" s="82">
        <f>AC$265</f>
        <v>2014</v>
      </c>
      <c r="AE182" s="82">
        <f>AE$265</f>
        <v>2015</v>
      </c>
      <c r="AG182" s="82">
        <f>AG$265</f>
        <v>2016</v>
      </c>
      <c r="AI182" s="82">
        <f>AI$265</f>
        <v>2017</v>
      </c>
    </row>
    <row r="183" ht="4.5" customHeight="1"/>
    <row r="184" spans="1:35" ht="12.75">
      <c r="A184" t="s">
        <v>303</v>
      </c>
      <c r="O184" s="76">
        <f>M50</f>
        <v>420.4</v>
      </c>
      <c r="Q184" s="76">
        <f>Q50</f>
        <v>458.09999999999997</v>
      </c>
      <c r="S184" s="76">
        <f>S50</f>
        <v>467.99999999999994</v>
      </c>
      <c r="U184" s="76">
        <f>U50</f>
        <v>470.49999999999994</v>
      </c>
      <c r="W184" s="76">
        <f>W50</f>
        <v>475.2049999999999</v>
      </c>
      <c r="Y184" s="76">
        <f>Y50</f>
        <v>479.9570499999999</v>
      </c>
      <c r="AA184" s="76">
        <f>AA50</f>
        <v>484.75662049999994</v>
      </c>
      <c r="AC184" s="76">
        <f>AC50</f>
        <v>489.60418670499996</v>
      </c>
      <c r="AE184" s="76">
        <f>AE50</f>
        <v>494.50022857205</v>
      </c>
      <c r="AG184" s="76">
        <f>AG50</f>
        <v>499.44523085777047</v>
      </c>
      <c r="AI184" s="76">
        <f>AI50</f>
        <v>504.4396831663482</v>
      </c>
    </row>
    <row r="185" spans="1:35" ht="12.75">
      <c r="A185" t="s">
        <v>25</v>
      </c>
      <c r="O185" s="37">
        <f>M53</f>
        <v>219.3</v>
      </c>
      <c r="Q185" s="37">
        <f>Q53</f>
        <v>239.6</v>
      </c>
      <c r="S185" s="37">
        <f>S53</f>
        <v>239.79999999999995</v>
      </c>
      <c r="U185" s="37">
        <f>U53</f>
        <v>242.19999999999993</v>
      </c>
      <c r="W185" s="37">
        <f>W53</f>
        <v>244.72199999999995</v>
      </c>
      <c r="Y185" s="37">
        <f>Y53</f>
        <v>247.26921999999996</v>
      </c>
      <c r="AA185" s="37">
        <f>AA53</f>
        <v>249.84191219999994</v>
      </c>
      <c r="AC185" s="37">
        <f>AC53</f>
        <v>252.44033132199996</v>
      </c>
      <c r="AE185" s="37">
        <f>AE53</f>
        <v>255.06473463521996</v>
      </c>
      <c r="AG185" s="37">
        <f>AG53</f>
        <v>257.71538198157214</v>
      </c>
      <c r="AI185" s="37">
        <f>AI53</f>
        <v>260.3925358013879</v>
      </c>
    </row>
    <row r="186" spans="9:11" ht="13.5" thickBot="1">
      <c r="I186" s="100" t="s">
        <v>308</v>
      </c>
      <c r="J186" s="100"/>
      <c r="K186" s="100"/>
    </row>
    <row r="187" spans="1:11" ht="13.5" thickBot="1">
      <c r="A187" s="10" t="s">
        <v>304</v>
      </c>
      <c r="I187" s="82" t="s">
        <v>309</v>
      </c>
      <c r="K187" s="82" t="s">
        <v>148</v>
      </c>
    </row>
    <row r="188" spans="2:35" ht="12.75">
      <c r="B188" t="str">
        <f>B88</f>
        <v>Accounts Receivable</v>
      </c>
      <c r="I188" t="s">
        <v>26</v>
      </c>
      <c r="K188" s="33">
        <f>O188/O$184</f>
        <v>0.31266175071360613</v>
      </c>
      <c r="O188" s="136">
        <f>I88</f>
        <v>131.443</v>
      </c>
      <c r="Q188" s="136">
        <f>$K188*Q$184</f>
        <v>143.23034800190297</v>
      </c>
      <c r="S188" s="136">
        <f>$K188*S$184</f>
        <v>146.32569933396766</v>
      </c>
      <c r="U188" s="136">
        <f>$K188*U$184</f>
        <v>147.10735371075168</v>
      </c>
      <c r="W188" s="136">
        <f>$K188*W$184</f>
        <v>148.57842724785917</v>
      </c>
      <c r="Y188" s="136">
        <f>$K188*Y$184</f>
        <v>150.06421152033778</v>
      </c>
      <c r="AA188" s="136">
        <f>$K188*AA$184</f>
        <v>151.56485363554114</v>
      </c>
      <c r="AC188" s="136">
        <f>$K188*AC$184</f>
        <v>153.08050217189657</v>
      </c>
      <c r="AE188" s="136">
        <f>$K188*AE$184</f>
        <v>154.61130719361554</v>
      </c>
      <c r="AG188" s="136">
        <f>$K188*AG$184</f>
        <v>156.1574202655517</v>
      </c>
      <c r="AI188" s="136">
        <f>$K188*AI$184</f>
        <v>157.71899446820723</v>
      </c>
    </row>
    <row r="189" spans="2:35" ht="12.75">
      <c r="B189" t="str">
        <f>B89</f>
        <v>Inventories</v>
      </c>
      <c r="I189" t="s">
        <v>310</v>
      </c>
      <c r="K189" s="33">
        <f>O189/O$185</f>
        <v>0</v>
      </c>
      <c r="O189" s="146">
        <f>I89</f>
        <v>0</v>
      </c>
      <c r="Q189" s="146">
        <f>$K189*Q$185</f>
        <v>0</v>
      </c>
      <c r="S189" s="146">
        <f>$K189*S$185</f>
        <v>0</v>
      </c>
      <c r="U189" s="146">
        <f>$K189*U$185</f>
        <v>0</v>
      </c>
      <c r="W189" s="146">
        <f>$K189*W$185</f>
        <v>0</v>
      </c>
      <c r="Y189" s="146">
        <f>$K189*Y$185</f>
        <v>0</v>
      </c>
      <c r="AA189" s="146">
        <f>$K189*AA$185</f>
        <v>0</v>
      </c>
      <c r="AC189" s="146">
        <f>$K189*AC$185</f>
        <v>0</v>
      </c>
      <c r="AE189" s="146">
        <f>$K189*AE$185</f>
        <v>0</v>
      </c>
      <c r="AG189" s="146">
        <f>$K189*AG$185</f>
        <v>0</v>
      </c>
      <c r="AI189" s="146">
        <f>$K189*AI$185</f>
        <v>0</v>
      </c>
    </row>
    <row r="190" spans="2:35" ht="12.75">
      <c r="B190" t="str">
        <f>B90</f>
        <v>Deferred Income Taxes</v>
      </c>
      <c r="I190" t="s">
        <v>26</v>
      </c>
      <c r="K190" s="33">
        <f>O190/O$184</f>
        <v>0.02099904852521408</v>
      </c>
      <c r="O190" s="146">
        <f>I90</f>
        <v>8.828</v>
      </c>
      <c r="Q190" s="146">
        <f>$K190*Q$184</f>
        <v>9.619664129400569</v>
      </c>
      <c r="S190" s="146">
        <f>$K190*S$184</f>
        <v>9.827554709800188</v>
      </c>
      <c r="U190" s="146">
        <f>$K190*U$184</f>
        <v>9.880052331113223</v>
      </c>
      <c r="W190" s="146">
        <f>$K190*W$184</f>
        <v>9.978852854424355</v>
      </c>
      <c r="Y190" s="146">
        <f>$K190*Y$184</f>
        <v>10.078641382968598</v>
      </c>
      <c r="AA190" s="146">
        <f>$K190*AA$184</f>
        <v>10.179427796798285</v>
      </c>
      <c r="AC190" s="146">
        <f>$K190*AC$184</f>
        <v>10.28122207476627</v>
      </c>
      <c r="AE190" s="146">
        <f>$K190*AE$184</f>
        <v>10.384034295513931</v>
      </c>
      <c r="AG190" s="146">
        <f>$K190*AG$184</f>
        <v>10.487874638469071</v>
      </c>
      <c r="AI190" s="146">
        <f>$K190*AI$184</f>
        <v>10.592753384853761</v>
      </c>
    </row>
    <row r="191" spans="2:35" ht="12.75">
      <c r="B191" t="str">
        <f>B91</f>
        <v>Prepaid Expenses &amp; Other</v>
      </c>
      <c r="I191" t="s">
        <v>310</v>
      </c>
      <c r="K191" s="33">
        <f>O191/O$185</f>
        <v>0.03749658002735978</v>
      </c>
      <c r="O191" s="146">
        <f>I91</f>
        <v>8.223</v>
      </c>
      <c r="Q191" s="146">
        <f>$K191*Q$185</f>
        <v>8.984180574555404</v>
      </c>
      <c r="S191" s="146">
        <f>$K191*S$185</f>
        <v>8.991679890560874</v>
      </c>
      <c r="U191" s="146">
        <f>$K191*U$185</f>
        <v>9.081671682626537</v>
      </c>
      <c r="W191" s="146">
        <f>$K191*W$185</f>
        <v>9.176238057455539</v>
      </c>
      <c r="Y191" s="146">
        <f>$K191*Y$185</f>
        <v>9.27175009603283</v>
      </c>
      <c r="AA191" s="146">
        <f>$K191*AA$185</f>
        <v>9.368217254995894</v>
      </c>
      <c r="AC191" s="146">
        <f>$K191*AC$185</f>
        <v>9.46564908554859</v>
      </c>
      <c r="AE191" s="146">
        <f>$K191*AE$185</f>
        <v>9.564055234406812</v>
      </c>
      <c r="AG191" s="146">
        <f>$K191*AG$185</f>
        <v>9.663445444753615</v>
      </c>
      <c r="AI191" s="146">
        <f>$K191*AI$185</f>
        <v>9.76382955720389</v>
      </c>
    </row>
    <row r="192" ht="4.5" customHeight="1"/>
    <row r="193" ht="12.75">
      <c r="A193" s="10" t="s">
        <v>305</v>
      </c>
    </row>
    <row r="194" spans="2:35" ht="12.75">
      <c r="B194" t="str">
        <f>B108</f>
        <v>Accounts Payable</v>
      </c>
      <c r="I194" t="s">
        <v>310</v>
      </c>
      <c r="K194" s="33">
        <f>O194/O$185</f>
        <v>0.09421796625626994</v>
      </c>
      <c r="O194" s="136">
        <f>I108</f>
        <v>20.662</v>
      </c>
      <c r="Q194" s="136">
        <f>$K194*Q$185</f>
        <v>22.574624715002276</v>
      </c>
      <c r="S194" s="136">
        <f>$K194*S$185</f>
        <v>22.593468308253527</v>
      </c>
      <c r="U194" s="136">
        <f>$K194*U$185</f>
        <v>22.819591427268573</v>
      </c>
      <c r="W194" s="136">
        <f>$K194*W$185</f>
        <v>23.057209138166886</v>
      </c>
      <c r="Y194" s="136">
        <f>$K194*Y$185</f>
        <v>23.297203026174184</v>
      </c>
      <c r="AA194" s="136">
        <f>$K194*AA$185</f>
        <v>23.53959685306155</v>
      </c>
      <c r="AC194" s="136">
        <f>$K194*AC$185</f>
        <v>23.784414618217795</v>
      </c>
      <c r="AE194" s="136">
        <f>$K194*AE$185</f>
        <v>24.0316805610256</v>
      </c>
      <c r="AG194" s="136">
        <f>$K194*AG$185</f>
        <v>24.281419163261482</v>
      </c>
      <c r="AI194" s="136">
        <f>$K194*AI$185</f>
        <v>24.533655151519728</v>
      </c>
    </row>
    <row r="195" spans="2:35" ht="12.75">
      <c r="B195" t="str">
        <f>B109</f>
        <v>Accrued Liabilities</v>
      </c>
      <c r="I195" t="s">
        <v>310</v>
      </c>
      <c r="K195" s="33">
        <f>O195/O$185</f>
        <v>0.07013223894208846</v>
      </c>
      <c r="O195" s="146">
        <f>I109</f>
        <v>15.38</v>
      </c>
      <c r="Q195" s="146">
        <f>$K195*Q$185</f>
        <v>16.803684450524393</v>
      </c>
      <c r="S195" s="146">
        <f>$K195*S$185</f>
        <v>16.81771089831281</v>
      </c>
      <c r="U195" s="146">
        <f>$K195*U$185</f>
        <v>16.986028271773822</v>
      </c>
      <c r="W195" s="146">
        <f>$K195*W$185</f>
        <v>17.16290177838577</v>
      </c>
      <c r="Y195" s="146">
        <f>$K195*Y$185</f>
        <v>17.341544020063836</v>
      </c>
      <c r="AA195" s="146">
        <f>$K195*AA$185</f>
        <v>17.521972684158683</v>
      </c>
      <c r="AC195" s="146">
        <f>$K195*AC$185</f>
        <v>17.70420563489448</v>
      </c>
      <c r="AE195" s="146">
        <f>$K195*AE$185</f>
        <v>17.888260915137632</v>
      </c>
      <c r="AG195" s="146">
        <f>$K195*AG$185</f>
        <v>18.074156748183217</v>
      </c>
      <c r="AI195" s="146">
        <f>$K195*AI$185</f>
        <v>18.26191153955926</v>
      </c>
    </row>
    <row r="196" spans="2:35" ht="12.75">
      <c r="B196" t="str">
        <f>B110</f>
        <v>Client Deposits</v>
      </c>
      <c r="I196" t="s">
        <v>26</v>
      </c>
      <c r="K196" s="33">
        <f>O196/O$184</f>
        <v>0</v>
      </c>
      <c r="O196" s="146">
        <f>I110</f>
        <v>0</v>
      </c>
      <c r="Q196" s="146">
        <f>$K196*Q$184</f>
        <v>0</v>
      </c>
      <c r="S196" s="146">
        <f>$K196*S$184</f>
        <v>0</v>
      </c>
      <c r="U196" s="146">
        <f>$K196*U$184</f>
        <v>0</v>
      </c>
      <c r="W196" s="146">
        <f>$K196*W$184</f>
        <v>0</v>
      </c>
      <c r="Y196" s="146">
        <f>$K196*Y$184</f>
        <v>0</v>
      </c>
      <c r="AA196" s="146">
        <f>$K196*AA$184</f>
        <v>0</v>
      </c>
      <c r="AC196" s="146">
        <f>$K196*AC$184</f>
        <v>0</v>
      </c>
      <c r="AE196" s="146">
        <f>$K196*AE$184</f>
        <v>0</v>
      </c>
      <c r="AG196" s="146">
        <f>$K196*AG$184</f>
        <v>0</v>
      </c>
      <c r="AI196" s="146">
        <f>$K196*AI$184</f>
        <v>0</v>
      </c>
    </row>
    <row r="197" spans="2:35" ht="12.75">
      <c r="B197" t="str">
        <f>B111</f>
        <v>Other Current Liabilities</v>
      </c>
      <c r="I197" t="s">
        <v>310</v>
      </c>
      <c r="K197" s="33">
        <f>O197/O$185</f>
        <v>0.26964432284541723</v>
      </c>
      <c r="O197" s="146">
        <f>I111</f>
        <v>59.132999999999996</v>
      </c>
      <c r="Q197" s="146">
        <f>$K197*Q$185</f>
        <v>64.60677975376197</v>
      </c>
      <c r="S197" s="146">
        <f>$K197*S$185</f>
        <v>64.66070861833104</v>
      </c>
      <c r="U197" s="146">
        <f>$K197*U$185</f>
        <v>65.30785499316003</v>
      </c>
      <c r="W197" s="146">
        <f>$K197*W$185</f>
        <v>65.98789797537619</v>
      </c>
      <c r="Y197" s="146">
        <f>$K197*Y$185</f>
        <v>66.67474138741449</v>
      </c>
      <c r="AA197" s="146">
        <f>$K197*AA$185</f>
        <v>67.36845323357316</v>
      </c>
      <c r="AC197" s="146">
        <f>$K197*AC$185</f>
        <v>68.06910219819345</v>
      </c>
      <c r="AE197" s="146">
        <f>$K197*AE$185</f>
        <v>68.77675765245992</v>
      </c>
      <c r="AG197" s="146">
        <f>$K197*AG$185</f>
        <v>69.49148966126906</v>
      </c>
      <c r="AI197" s="146">
        <f>$K197*AI$185</f>
        <v>70.2133689901663</v>
      </c>
    </row>
    <row r="199" spans="1:35" ht="12.75">
      <c r="A199" t="s">
        <v>306</v>
      </c>
      <c r="O199" s="76">
        <f>SUM(O188:O191)-SUM(O194:O197)</f>
        <v>53.31900000000003</v>
      </c>
      <c r="Q199" s="76">
        <f>SUM(Q188:Q191)-SUM(Q194:Q197)</f>
        <v>57.84910378657031</v>
      </c>
      <c r="S199" s="76">
        <f>SUM(S188:S191)-SUM(S194:S197)</f>
        <v>61.073046109431345</v>
      </c>
      <c r="U199" s="76">
        <f>SUM(U188:U191)-SUM(U194:U197)</f>
        <v>60.95560303228902</v>
      </c>
      <c r="W199" s="76">
        <f>SUM(W188:W191)-SUM(W194:W197)</f>
        <v>61.525509267810236</v>
      </c>
      <c r="Y199" s="76">
        <f>SUM(Y188:Y191)-SUM(Y194:Y197)</f>
        <v>62.101114565686714</v>
      </c>
      <c r="AA199" s="76">
        <f>SUM(AA188:AA191)-SUM(AA194:AA197)</f>
        <v>62.68247591654192</v>
      </c>
      <c r="AC199" s="76">
        <f>SUM(AC188:AC191)-SUM(AC194:AC197)</f>
        <v>63.269650880905715</v>
      </c>
      <c r="AE199" s="76">
        <f>SUM(AE188:AE191)-SUM(AE194:AE197)</f>
        <v>63.86269759491316</v>
      </c>
      <c r="AG199" s="76">
        <f>SUM(AG188:AG191)-SUM(AG194:AG197)</f>
        <v>64.46167477606063</v>
      </c>
      <c r="AI199" s="76">
        <f>SUM(AI188:AI191)-SUM(AI194:AI197)</f>
        <v>65.06664172901957</v>
      </c>
    </row>
    <row r="200" spans="1:35" ht="12.75">
      <c r="A200" t="s">
        <v>307</v>
      </c>
      <c r="Q200" s="37">
        <f>Q199-O199</f>
        <v>4.53010378657028</v>
      </c>
      <c r="S200" s="37">
        <f>S199-Q199</f>
        <v>3.223942322861035</v>
      </c>
      <c r="U200" s="37">
        <f>U199-S199</f>
        <v>-0.11744307714232605</v>
      </c>
      <c r="W200" s="37">
        <f>W199-U199</f>
        <v>0.5699062355212163</v>
      </c>
      <c r="Y200" s="37">
        <f>Y199-W199</f>
        <v>0.5756052978764785</v>
      </c>
      <c r="AA200" s="37">
        <f>AA199-Y199</f>
        <v>0.5813613508552038</v>
      </c>
      <c r="AC200" s="37">
        <f>AC199-AA199</f>
        <v>0.5871749643637969</v>
      </c>
      <c r="AE200" s="37">
        <f>AE199-AC199</f>
        <v>0.5930467140074427</v>
      </c>
      <c r="AG200" s="37">
        <f>AG199-AE199</f>
        <v>0.5989771811474753</v>
      </c>
      <c r="AI200" s="37">
        <f>AI199-AG199</f>
        <v>0.6049669529589323</v>
      </c>
    </row>
    <row r="202" spans="1:35" ht="12.75">
      <c r="A202" s="4" t="s">
        <v>311</v>
      </c>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row>
    <row r="203" ht="12.75">
      <c r="A203" s="3" t="str">
        <f>$A$2</f>
        <v>($ in millions, except per share data)</v>
      </c>
    </row>
    <row r="204" spans="15:35" ht="13.5" thickBot="1">
      <c r="O204" s="22" t="str">
        <f>O$46</f>
        <v>2 Mos.</v>
      </c>
      <c r="Q204" s="20" t="str">
        <f>Q$263</f>
        <v>Projected Fiscal Years Ending September 30,</v>
      </c>
      <c r="R204" s="20"/>
      <c r="S204" s="20"/>
      <c r="T204" s="20"/>
      <c r="U204" s="20"/>
      <c r="V204" s="20"/>
      <c r="W204" s="20"/>
      <c r="X204" s="20"/>
      <c r="Y204" s="20"/>
      <c r="Z204" s="20"/>
      <c r="AA204" s="20"/>
      <c r="AB204" s="20"/>
      <c r="AC204" s="20"/>
      <c r="AD204" s="20"/>
      <c r="AE204" s="20"/>
      <c r="AF204" s="20"/>
      <c r="AG204" s="20"/>
      <c r="AH204" s="20"/>
      <c r="AI204" s="20"/>
    </row>
    <row r="205" spans="15:35" ht="12.75">
      <c r="O205" s="22" t="str">
        <f>O$47</f>
        <v>Ending</v>
      </c>
      <c r="Q205" s="81">
        <f>Q$264</f>
        <v>1</v>
      </c>
      <c r="S205" s="81">
        <f>S$264</f>
        <v>2</v>
      </c>
      <c r="U205" s="81">
        <f>U$264</f>
        <v>3</v>
      </c>
      <c r="W205" s="81">
        <f>W$264</f>
        <v>4</v>
      </c>
      <c r="Y205" s="81">
        <f>Y$264</f>
        <v>5</v>
      </c>
      <c r="AA205" s="81">
        <f>AA$264</f>
        <v>6</v>
      </c>
      <c r="AC205" s="81">
        <f>AC$264</f>
        <v>7</v>
      </c>
      <c r="AE205" s="81">
        <f>AE$264</f>
        <v>8</v>
      </c>
      <c r="AG205" s="81">
        <f>AG$264</f>
        <v>9</v>
      </c>
      <c r="AI205" s="81">
        <f>AI$264</f>
        <v>10</v>
      </c>
    </row>
    <row r="206" spans="1:35" ht="13.5" thickBot="1">
      <c r="A206" s="100" t="s">
        <v>312</v>
      </c>
      <c r="B206" s="100"/>
      <c r="C206" s="100"/>
      <c r="D206" s="100"/>
      <c r="E206" s="100"/>
      <c r="F206" s="100"/>
      <c r="G206" s="100"/>
      <c r="H206" s="100"/>
      <c r="I206" s="100"/>
      <c r="J206" s="100"/>
      <c r="K206" s="100"/>
      <c r="O206" s="97" t="str">
        <f>O$48</f>
        <v>9/30/2008</v>
      </c>
      <c r="Q206" s="82">
        <f>Q$265</f>
        <v>2008</v>
      </c>
      <c r="S206" s="82">
        <f>S$265</f>
        <v>2009</v>
      </c>
      <c r="U206" s="82">
        <f>U$265</f>
        <v>2010</v>
      </c>
      <c r="W206" s="82">
        <f>W$265</f>
        <v>2011</v>
      </c>
      <c r="Y206" s="82">
        <f>Y$265</f>
        <v>2012</v>
      </c>
      <c r="AA206" s="82">
        <f>AA$265</f>
        <v>2013</v>
      </c>
      <c r="AC206" s="82">
        <f>AC$265</f>
        <v>2014</v>
      </c>
      <c r="AE206" s="82">
        <f>AE$265</f>
        <v>2015</v>
      </c>
      <c r="AG206" s="82">
        <f>AG$265</f>
        <v>2016</v>
      </c>
      <c r="AI206" s="82">
        <f>AI$265</f>
        <v>2017</v>
      </c>
    </row>
    <row r="207" spans="7:11" ht="12.75">
      <c r="G207" s="22" t="s">
        <v>249</v>
      </c>
      <c r="I207" s="22" t="s">
        <v>313</v>
      </c>
      <c r="K207" s="22" t="s">
        <v>314</v>
      </c>
    </row>
    <row r="208" spans="1:35" ht="13.5" thickBot="1">
      <c r="A208" s="100" t="s">
        <v>315</v>
      </c>
      <c r="B208" s="100"/>
      <c r="C208" s="100"/>
      <c r="D208" s="100"/>
      <c r="E208" s="100"/>
      <c r="G208" s="82" t="s">
        <v>316</v>
      </c>
      <c r="I208" s="82" t="s">
        <v>317</v>
      </c>
      <c r="K208" s="82" t="s">
        <v>318</v>
      </c>
      <c r="O208" s="100" t="s">
        <v>323</v>
      </c>
      <c r="P208" s="100"/>
      <c r="Q208" s="100"/>
      <c r="R208" s="100"/>
      <c r="S208" s="100"/>
      <c r="T208" s="100"/>
      <c r="U208" s="100"/>
      <c r="V208" s="100"/>
      <c r="W208" s="100"/>
      <c r="X208" s="100"/>
      <c r="Y208" s="100"/>
      <c r="Z208" s="100"/>
      <c r="AA208" s="100"/>
      <c r="AB208" s="100"/>
      <c r="AC208" s="100"/>
      <c r="AD208" s="100"/>
      <c r="AE208" s="100"/>
      <c r="AF208" s="100"/>
      <c r="AG208" s="100"/>
      <c r="AH208" s="100"/>
      <c r="AI208" s="100"/>
    </row>
    <row r="209" spans="1:35" ht="12.75">
      <c r="A209" s="198" t="s">
        <v>319</v>
      </c>
      <c r="G209" s="76">
        <f>I94</f>
        <v>175.41400000000002</v>
      </c>
      <c r="I209" s="199">
        <v>14</v>
      </c>
      <c r="K209" s="77">
        <v>0</v>
      </c>
      <c r="O209" s="76">
        <f>stub*Q209</f>
        <v>2.0882619047619047</v>
      </c>
      <c r="Q209" s="76">
        <f>IF(Q$205&lt;=$I209,SLN($G209,$K209,$I209),0)</f>
        <v>12.52957142857143</v>
      </c>
      <c r="S209" s="76">
        <f>IF(S$205&lt;=$I209,SLN($G209,$K209,$I209),0)</f>
        <v>12.52957142857143</v>
      </c>
      <c r="U209" s="76">
        <f>IF(U$205&lt;=$I209,SLN($G209,$K209,$I209),0)</f>
        <v>12.52957142857143</v>
      </c>
      <c r="W209" s="76">
        <f>IF(W$205&lt;=$I209,SLN($G209,$K209,$I209),0)</f>
        <v>12.52957142857143</v>
      </c>
      <c r="Y209" s="76">
        <f>IF(Y$205&lt;=$I209,SLN($G209,$K209,$I209),0)</f>
        <v>12.52957142857143</v>
      </c>
      <c r="AA209" s="76">
        <f>IF(AA$205&lt;=$I209,SLN($G209,$K209,$I209),0)</f>
        <v>12.52957142857143</v>
      </c>
      <c r="AC209" s="76">
        <f>IF(AC$205&lt;=$I209,SLN($G209,$K209,$I209),0)</f>
        <v>12.52957142857143</v>
      </c>
      <c r="AE209" s="76">
        <f>IF(AE$205&lt;=$I209,SLN($G209,$K209,$I209),0)</f>
        <v>12.52957142857143</v>
      </c>
      <c r="AG209" s="76">
        <f>IF(AG$205&lt;=$I209,SLN($G209,$K209,$I209),0)</f>
        <v>12.52957142857143</v>
      </c>
      <c r="AI209" s="76">
        <f>IF(AI$205&lt;=$I209,SLN($G209,$K209,$I209),0)</f>
        <v>12.52957142857143</v>
      </c>
    </row>
    <row r="210" spans="1:35" ht="12.75">
      <c r="A210" s="198" t="s">
        <v>320</v>
      </c>
      <c r="G210" s="43">
        <v>0</v>
      </c>
      <c r="I210" s="43">
        <v>0</v>
      </c>
      <c r="K210" s="43">
        <v>0</v>
      </c>
      <c r="O210" s="146">
        <f>stub*Q210</f>
        <v>0</v>
      </c>
      <c r="Q210" s="146">
        <f>IF(Q$205&lt;=$I210,SLN($G210,$K210,$I210),0)</f>
        <v>0</v>
      </c>
      <c r="S210" s="146">
        <f>IF(S$205&lt;=$I210,SLN($G210,$K210,$I210),0)</f>
        <v>0</v>
      </c>
      <c r="U210" s="146">
        <f>IF(U$205&lt;=$I210,SLN($G210,$K210,$I210),0)</f>
        <v>0</v>
      </c>
      <c r="W210" s="146">
        <f>IF(W$205&lt;=$I210,SLN($G210,$K210,$I210),0)</f>
        <v>0</v>
      </c>
      <c r="Y210" s="146">
        <f>IF(Y$205&lt;=$I210,SLN($G210,$K210,$I210),0)</f>
        <v>0</v>
      </c>
      <c r="AA210" s="146">
        <f>IF(AA$205&lt;=$I210,SLN($G210,$K210,$I210),0)</f>
        <v>0</v>
      </c>
      <c r="AC210" s="146">
        <f>IF(AC$205&lt;=$I210,SLN($G210,$K210,$I210),0)</f>
        <v>0</v>
      </c>
      <c r="AE210" s="146">
        <f>IF(AE$205&lt;=$I210,SLN($G210,$K210,$I210),0)</f>
        <v>0</v>
      </c>
      <c r="AG210" s="146">
        <f>IF(AG$205&lt;=$I210,SLN($G210,$K210,$I210),0)</f>
        <v>0</v>
      </c>
      <c r="AI210" s="146">
        <f>IF(AI$205&lt;=$I210,SLN($G210,$K210,$I210),0)</f>
        <v>0</v>
      </c>
    </row>
    <row r="211" spans="1:35" ht="12.75">
      <c r="A211" s="198" t="s">
        <v>321</v>
      </c>
      <c r="G211" s="43">
        <v>0</v>
      </c>
      <c r="I211" s="43">
        <v>0</v>
      </c>
      <c r="K211" s="43">
        <v>0</v>
      </c>
      <c r="O211" s="146">
        <f>stub*Q211</f>
        <v>0</v>
      </c>
      <c r="Q211" s="146">
        <f aca="true" t="shared" si="23" ref="Q211:AI212">IF(Q$205&lt;=$I211,SLN($G211,$K211,$I211),0)</f>
        <v>0</v>
      </c>
      <c r="S211" s="146">
        <f t="shared" si="23"/>
        <v>0</v>
      </c>
      <c r="U211" s="146">
        <f t="shared" si="23"/>
        <v>0</v>
      </c>
      <c r="W211" s="146">
        <f t="shared" si="23"/>
        <v>0</v>
      </c>
      <c r="Y211" s="146">
        <f t="shared" si="23"/>
        <v>0</v>
      </c>
      <c r="AA211" s="146">
        <f t="shared" si="23"/>
        <v>0</v>
      </c>
      <c r="AC211" s="146">
        <f t="shared" si="23"/>
        <v>0</v>
      </c>
      <c r="AE211" s="146">
        <f t="shared" si="23"/>
        <v>0</v>
      </c>
      <c r="AG211" s="146">
        <f t="shared" si="23"/>
        <v>0</v>
      </c>
      <c r="AI211" s="146">
        <f t="shared" si="23"/>
        <v>0</v>
      </c>
    </row>
    <row r="212" spans="1:35" ht="13.5" thickBot="1">
      <c r="A212" s="198" t="s">
        <v>322</v>
      </c>
      <c r="G212" s="43">
        <v>0</v>
      </c>
      <c r="I212" s="43">
        <v>0</v>
      </c>
      <c r="K212" s="43">
        <v>0</v>
      </c>
      <c r="O212" s="146">
        <f>stub*Q212</f>
        <v>0</v>
      </c>
      <c r="Q212" s="146">
        <f t="shared" si="23"/>
        <v>0</v>
      </c>
      <c r="S212" s="146">
        <f t="shared" si="23"/>
        <v>0</v>
      </c>
      <c r="U212" s="146">
        <f t="shared" si="23"/>
        <v>0</v>
      </c>
      <c r="W212" s="146">
        <f t="shared" si="23"/>
        <v>0</v>
      </c>
      <c r="Y212" s="146">
        <f t="shared" si="23"/>
        <v>0</v>
      </c>
      <c r="AA212" s="146">
        <f t="shared" si="23"/>
        <v>0</v>
      </c>
      <c r="AC212" s="146">
        <f t="shared" si="23"/>
        <v>0</v>
      </c>
      <c r="AE212" s="146">
        <f t="shared" si="23"/>
        <v>0</v>
      </c>
      <c r="AG212" s="146">
        <f t="shared" si="23"/>
        <v>0</v>
      </c>
      <c r="AI212" s="146">
        <f t="shared" si="23"/>
        <v>0</v>
      </c>
    </row>
    <row r="213" spans="13:35" ht="12.75">
      <c r="M213" t="s">
        <v>324</v>
      </c>
      <c r="O213" s="108">
        <f>SUM(O209:O212)</f>
        <v>2.0882619047619047</v>
      </c>
      <c r="Q213" s="108">
        <f>SUM(Q209:Q212)</f>
        <v>12.52957142857143</v>
      </c>
      <c r="S213" s="108">
        <f>SUM(S209:S212)</f>
        <v>12.52957142857143</v>
      </c>
      <c r="U213" s="108">
        <f>SUM(U209:U212)</f>
        <v>12.52957142857143</v>
      </c>
      <c r="W213" s="108">
        <f>SUM(W209:W212)</f>
        <v>12.52957142857143</v>
      </c>
      <c r="Y213" s="108">
        <f>SUM(Y209:Y212)</f>
        <v>12.52957142857143</v>
      </c>
      <c r="AA213" s="108">
        <f>SUM(AA209:AA212)</f>
        <v>12.52957142857143</v>
      </c>
      <c r="AC213" s="108">
        <f>SUM(AC209:AC212)</f>
        <v>12.52957142857143</v>
      </c>
      <c r="AE213" s="108">
        <f>SUM(AE209:AE212)</f>
        <v>12.52957142857143</v>
      </c>
      <c r="AG213" s="108">
        <f>SUM(AG209:AG212)</f>
        <v>12.52957142857143</v>
      </c>
      <c r="AI213" s="108">
        <f>SUM(AI209:AI212)</f>
        <v>12.52957142857143</v>
      </c>
    </row>
    <row r="214" spans="5:11" ht="13.5" thickBot="1">
      <c r="E214" s="100" t="s">
        <v>325</v>
      </c>
      <c r="F214" s="100"/>
      <c r="G214" s="100"/>
      <c r="H214" s="100"/>
      <c r="I214" s="100"/>
      <c r="J214" s="100"/>
      <c r="K214" s="100"/>
    </row>
    <row r="215" spans="9:11" ht="12.75">
      <c r="I215" s="22" t="s">
        <v>326</v>
      </c>
      <c r="K215" s="22" t="s">
        <v>314</v>
      </c>
    </row>
    <row r="216" spans="5:35" ht="13.5" thickBot="1">
      <c r="E216" s="82" t="s">
        <v>327</v>
      </c>
      <c r="G216" s="82" t="s">
        <v>328</v>
      </c>
      <c r="I216" s="82" t="s">
        <v>317</v>
      </c>
      <c r="K216" s="82" t="s">
        <v>318</v>
      </c>
      <c r="O216" s="100" t="s">
        <v>329</v>
      </c>
      <c r="P216" s="100"/>
      <c r="Q216" s="100"/>
      <c r="R216" s="100"/>
      <c r="S216" s="100"/>
      <c r="T216" s="100"/>
      <c r="U216" s="100"/>
      <c r="V216" s="100"/>
      <c r="W216" s="100"/>
      <c r="X216" s="100"/>
      <c r="Y216" s="100"/>
      <c r="Z216" s="100"/>
      <c r="AA216" s="100"/>
      <c r="AB216" s="100"/>
      <c r="AC216" s="100"/>
      <c r="AD216" s="100"/>
      <c r="AE216" s="100"/>
      <c r="AF216" s="100"/>
      <c r="AG216" s="100"/>
      <c r="AH216" s="100"/>
      <c r="AI216" s="100"/>
    </row>
    <row r="217" spans="5:35" ht="12.75">
      <c r="E217" s="200">
        <f>Q206</f>
        <v>2008</v>
      </c>
      <c r="G217" s="201">
        <f>'Target P&amp;L'!M65</f>
        <v>16</v>
      </c>
      <c r="I217" s="199">
        <v>20</v>
      </c>
      <c r="K217" s="77">
        <v>0</v>
      </c>
      <c r="O217" s="76">
        <f>stub*Q217</f>
        <v>0.13333333333333333</v>
      </c>
      <c r="Q217" s="76">
        <f>IF(Q$206-$Q$206&lt;$I217,SLN($G217,$K217,$I217),0)</f>
        <v>0.8</v>
      </c>
      <c r="S217" s="76">
        <f>IF(S$206-$Q$206&lt;$I217,SLN($G217,$K217,$I217),0)</f>
        <v>0.8</v>
      </c>
      <c r="U217" s="76">
        <f>IF(U$206-$Q$206&lt;$I217,SLN($G217,$K217,$I217),0)</f>
        <v>0.8</v>
      </c>
      <c r="W217" s="76">
        <f>IF(W$206-$Q$206&lt;$I217,SLN($G217,$K217,$I217),0)</f>
        <v>0.8</v>
      </c>
      <c r="Y217" s="76">
        <f>IF(Y$206-$Q$206&lt;$I217,SLN($G217,$K217,$I217),0)</f>
        <v>0.8</v>
      </c>
      <c r="AA217" s="76">
        <f aca="true" t="shared" si="24" ref="AA217:AA222">IF(AA$206-$Q$206&lt;$I217,SLN($G217,$K217,$I217),0)</f>
        <v>0.8</v>
      </c>
      <c r="AC217" s="76">
        <f aca="true" t="shared" si="25" ref="AC217:AC223">IF(AC$206-$Q$206&lt;$I217,SLN($G217,$K217,$I217),0)</f>
        <v>0.8</v>
      </c>
      <c r="AE217" s="76">
        <f aca="true" t="shared" si="26" ref="AE217:AE224">IF(AE$206-$Q$206&lt;$I217,SLN($G217,$K217,$I217),0)</f>
        <v>0.8</v>
      </c>
      <c r="AG217" s="76">
        <f aca="true" t="shared" si="27" ref="AG217:AG225">IF(AG$206-$Q$206&lt;$I217,SLN($G217,$K217,$I217),0)</f>
        <v>0.8</v>
      </c>
      <c r="AI217" s="76">
        <f aca="true" t="shared" si="28" ref="AI217:AI226">IF(AI$206-$Q$206&lt;$I217,SLN($G217,$K217,$I217),0)</f>
        <v>0.8</v>
      </c>
    </row>
    <row r="218" spans="5:35" ht="12.75">
      <c r="E218" s="200">
        <f>S206</f>
        <v>2009</v>
      </c>
      <c r="G218" s="202">
        <f>'Target P&amp;L'!O65</f>
        <v>14.1</v>
      </c>
      <c r="I218" s="199">
        <v>20</v>
      </c>
      <c r="K218" s="43">
        <v>0</v>
      </c>
      <c r="O218" s="203"/>
      <c r="Q218" s="203"/>
      <c r="S218" s="146">
        <f>IF(S$206-$Q$206&lt;$I218,SLN($G218,$K218,$I218),0)</f>
        <v>0.705</v>
      </c>
      <c r="U218" s="146">
        <f>IF(U$206-$Q$206&lt;$I218,SLN($G218,$K218,$I218),0)</f>
        <v>0.705</v>
      </c>
      <c r="W218" s="146">
        <f>IF(W$206-$Q$206&lt;$I218,SLN($G218,$K218,$I218),0)</f>
        <v>0.705</v>
      </c>
      <c r="Y218" s="146">
        <f>IF(Y$206-$Q$206&lt;$I218,SLN($G218,$K218,$I218),0)</f>
        <v>0.705</v>
      </c>
      <c r="AA218" s="146">
        <f t="shared" si="24"/>
        <v>0.705</v>
      </c>
      <c r="AC218" s="146">
        <f t="shared" si="25"/>
        <v>0.705</v>
      </c>
      <c r="AE218" s="146">
        <f t="shared" si="26"/>
        <v>0.705</v>
      </c>
      <c r="AG218" s="146">
        <f t="shared" si="27"/>
        <v>0.705</v>
      </c>
      <c r="AI218" s="146">
        <f t="shared" si="28"/>
        <v>0.705</v>
      </c>
    </row>
    <row r="219" spans="5:35" ht="12.75">
      <c r="E219" s="200">
        <f>U206</f>
        <v>2010</v>
      </c>
      <c r="G219" s="202">
        <f>'Target P&amp;L'!Q65</f>
        <v>14.175320512820512</v>
      </c>
      <c r="I219" s="199">
        <v>20</v>
      </c>
      <c r="K219" s="43">
        <v>0</v>
      </c>
      <c r="O219" s="203"/>
      <c r="Q219" s="203"/>
      <c r="S219" s="203"/>
      <c r="U219" s="146">
        <f>IF(U$206-$Q$206&lt;$I219,SLN($G219,$K219,$I219),0)</f>
        <v>0.7087660256410256</v>
      </c>
      <c r="W219" s="146">
        <f>IF(W$206-$Q$206&lt;$I219,SLN($G219,$K219,$I219),0)</f>
        <v>0.7087660256410256</v>
      </c>
      <c r="Y219" s="146">
        <f>IF(Y$206-$Q$206&lt;$I219,SLN($G219,$K219,$I219),0)</f>
        <v>0.7087660256410256</v>
      </c>
      <c r="AA219" s="146">
        <f t="shared" si="24"/>
        <v>0.7087660256410256</v>
      </c>
      <c r="AC219" s="146">
        <f t="shared" si="25"/>
        <v>0.7087660256410256</v>
      </c>
      <c r="AE219" s="146">
        <f t="shared" si="26"/>
        <v>0.7087660256410256</v>
      </c>
      <c r="AG219" s="146">
        <f t="shared" si="27"/>
        <v>0.7087660256410256</v>
      </c>
      <c r="AI219" s="146">
        <f t="shared" si="28"/>
        <v>0.7087660256410256</v>
      </c>
    </row>
    <row r="220" spans="5:35" ht="12.75">
      <c r="E220" s="200">
        <f>W206</f>
        <v>2011</v>
      </c>
      <c r="G220" s="202">
        <f>'Target P&amp;L'!S65</f>
        <v>14.317073717948718</v>
      </c>
      <c r="I220" s="199">
        <v>20</v>
      </c>
      <c r="K220" s="43">
        <v>0</v>
      </c>
      <c r="O220" s="203"/>
      <c r="Q220" s="203"/>
      <c r="S220" s="203"/>
      <c r="U220" s="203"/>
      <c r="W220" s="146">
        <f>IF(W$206-$Q$206&lt;$I220,SLN($G220,$K220,$I220),0)</f>
        <v>0.7158536858974359</v>
      </c>
      <c r="Y220" s="146">
        <f>IF(Y$206-$Q$206&lt;$I220,SLN($G220,$K220,$I220),0)</f>
        <v>0.7158536858974359</v>
      </c>
      <c r="AA220" s="146">
        <f t="shared" si="24"/>
        <v>0.7158536858974359</v>
      </c>
      <c r="AC220" s="146">
        <f t="shared" si="25"/>
        <v>0.7158536858974359</v>
      </c>
      <c r="AE220" s="146">
        <f t="shared" si="26"/>
        <v>0.7158536858974359</v>
      </c>
      <c r="AG220" s="146">
        <f t="shared" si="27"/>
        <v>0.7158536858974359</v>
      </c>
      <c r="AI220" s="146">
        <f t="shared" si="28"/>
        <v>0.7158536858974359</v>
      </c>
    </row>
    <row r="221" spans="5:35" ht="12.75">
      <c r="E221" s="200">
        <f>Y206</f>
        <v>2012</v>
      </c>
      <c r="G221" s="202">
        <f>'Target P&amp;L'!U65</f>
        <v>14.460244455128205</v>
      </c>
      <c r="I221" s="199">
        <v>20</v>
      </c>
      <c r="K221" s="43">
        <v>0</v>
      </c>
      <c r="O221" s="203"/>
      <c r="Q221" s="203"/>
      <c r="S221" s="203"/>
      <c r="U221" s="203"/>
      <c r="W221" s="203"/>
      <c r="Y221" s="146">
        <f>IF(Y$206-$Q$206&lt;$I221,SLN($G221,$K221,$I221),0)</f>
        <v>0.7230122227564102</v>
      </c>
      <c r="AA221" s="146">
        <f t="shared" si="24"/>
        <v>0.7230122227564102</v>
      </c>
      <c r="AC221" s="146">
        <f t="shared" si="25"/>
        <v>0.7230122227564102</v>
      </c>
      <c r="AE221" s="146">
        <f t="shared" si="26"/>
        <v>0.7230122227564102</v>
      </c>
      <c r="AG221" s="146">
        <f t="shared" si="27"/>
        <v>0.7230122227564102</v>
      </c>
      <c r="AI221" s="146">
        <f t="shared" si="28"/>
        <v>0.7230122227564102</v>
      </c>
    </row>
    <row r="222" spans="5:35" ht="12.75">
      <c r="E222" s="200">
        <f>AA206</f>
        <v>2013</v>
      </c>
      <c r="G222" s="146">
        <f>AA50*G221/Y50</f>
        <v>14.604846899679487</v>
      </c>
      <c r="I222" s="199">
        <v>20</v>
      </c>
      <c r="K222" s="43">
        <v>0</v>
      </c>
      <c r="O222" s="203"/>
      <c r="Q222" s="203"/>
      <c r="S222" s="203"/>
      <c r="U222" s="203"/>
      <c r="W222" s="203"/>
      <c r="Y222" s="203"/>
      <c r="AA222" s="146">
        <f t="shared" si="24"/>
        <v>0.7302423449839743</v>
      </c>
      <c r="AC222" s="146">
        <f t="shared" si="25"/>
        <v>0.7302423449839743</v>
      </c>
      <c r="AE222" s="146">
        <f t="shared" si="26"/>
        <v>0.7302423449839743</v>
      </c>
      <c r="AG222" s="146">
        <f t="shared" si="27"/>
        <v>0.7302423449839743</v>
      </c>
      <c r="AI222" s="146">
        <f t="shared" si="28"/>
        <v>0.7302423449839743</v>
      </c>
    </row>
    <row r="223" spans="5:35" ht="12.75">
      <c r="E223" s="200">
        <f>AC206</f>
        <v>2014</v>
      </c>
      <c r="G223" s="146">
        <f>AC50*G222/AA50</f>
        <v>14.750895368676282</v>
      </c>
      <c r="I223" s="199">
        <v>20</v>
      </c>
      <c r="K223" s="43">
        <v>0</v>
      </c>
      <c r="O223" s="203"/>
      <c r="Q223" s="203"/>
      <c r="S223" s="203"/>
      <c r="U223" s="203"/>
      <c r="W223" s="203"/>
      <c r="Y223" s="203"/>
      <c r="AA223" s="203"/>
      <c r="AC223" s="146">
        <f t="shared" si="25"/>
        <v>0.7375447684338141</v>
      </c>
      <c r="AE223" s="146">
        <f t="shared" si="26"/>
        <v>0.7375447684338141</v>
      </c>
      <c r="AG223" s="146">
        <f t="shared" si="27"/>
        <v>0.7375447684338141</v>
      </c>
      <c r="AI223" s="146">
        <f t="shared" si="28"/>
        <v>0.7375447684338141</v>
      </c>
    </row>
    <row r="224" spans="5:35" ht="12.75">
      <c r="E224" s="200">
        <f>AE206</f>
        <v>2015</v>
      </c>
      <c r="G224" s="146">
        <f>AE50*G223/AC50</f>
        <v>14.898404322363046</v>
      </c>
      <c r="I224" s="199">
        <v>20</v>
      </c>
      <c r="K224" s="43">
        <v>0</v>
      </c>
      <c r="O224" s="203"/>
      <c r="Q224" s="203"/>
      <c r="S224" s="203"/>
      <c r="U224" s="203"/>
      <c r="W224" s="203"/>
      <c r="Y224" s="203"/>
      <c r="AA224" s="203"/>
      <c r="AC224" s="203"/>
      <c r="AE224" s="146">
        <f t="shared" si="26"/>
        <v>0.7449202161181523</v>
      </c>
      <c r="AG224" s="146">
        <f t="shared" si="27"/>
        <v>0.7449202161181523</v>
      </c>
      <c r="AI224" s="146">
        <f t="shared" si="28"/>
        <v>0.7449202161181523</v>
      </c>
    </row>
    <row r="225" spans="5:35" ht="12.75">
      <c r="E225" s="200">
        <f>AG206</f>
        <v>2016</v>
      </c>
      <c r="G225" s="146">
        <f>AG50*G224/AE50</f>
        <v>15.047388365586677</v>
      </c>
      <c r="I225" s="199">
        <v>20</v>
      </c>
      <c r="K225" s="43">
        <v>0</v>
      </c>
      <c r="O225" s="203"/>
      <c r="Q225" s="203"/>
      <c r="S225" s="203"/>
      <c r="U225" s="203"/>
      <c r="W225" s="203"/>
      <c r="Y225" s="203"/>
      <c r="AA225" s="203"/>
      <c r="AC225" s="203"/>
      <c r="AE225" s="203"/>
      <c r="AG225" s="146">
        <f t="shared" si="27"/>
        <v>0.7523694182793339</v>
      </c>
      <c r="AI225" s="146">
        <f t="shared" si="28"/>
        <v>0.7523694182793339</v>
      </c>
    </row>
    <row r="226" spans="5:35" ht="13.5" thickBot="1">
      <c r="E226" s="200">
        <f>AI206</f>
        <v>2017</v>
      </c>
      <c r="G226" s="146">
        <f>AI50*G225/AG50</f>
        <v>15.197862249242545</v>
      </c>
      <c r="I226" s="199">
        <v>20</v>
      </c>
      <c r="K226" s="43">
        <v>0</v>
      </c>
      <c r="O226" s="203"/>
      <c r="Q226" s="203"/>
      <c r="S226" s="203"/>
      <c r="U226" s="203"/>
      <c r="W226" s="203"/>
      <c r="Y226" s="203"/>
      <c r="AA226" s="203"/>
      <c r="AC226" s="203"/>
      <c r="AE226" s="203"/>
      <c r="AG226" s="203"/>
      <c r="AI226" s="146">
        <f t="shared" si="28"/>
        <v>0.7598931124621273</v>
      </c>
    </row>
    <row r="227" spans="13:35" ht="12.75">
      <c r="M227" t="s">
        <v>324</v>
      </c>
      <c r="O227" s="108">
        <f>SUM(O217:O226)</f>
        <v>0.13333333333333333</v>
      </c>
      <c r="Q227" s="108">
        <f>SUM(Q217:Q226)</f>
        <v>0.8</v>
      </c>
      <c r="S227" s="108">
        <f>SUM(S217:S226)</f>
        <v>1.505</v>
      </c>
      <c r="U227" s="108">
        <f>SUM(U217:U226)</f>
        <v>2.2137660256410254</v>
      </c>
      <c r="W227" s="108">
        <f>SUM(W217:W226)</f>
        <v>2.9296197115384612</v>
      </c>
      <c r="Y227" s="108">
        <f>SUM(Y217:Y226)</f>
        <v>3.652631934294871</v>
      </c>
      <c r="AA227" s="108">
        <f>SUM(AA217:AA226)</f>
        <v>4.3828742792788455</v>
      </c>
      <c r="AC227" s="108">
        <f>SUM(AC217:AC226)</f>
        <v>5.12041904771266</v>
      </c>
      <c r="AE227" s="108">
        <f>SUM(AE217:AE226)</f>
        <v>5.865339263830812</v>
      </c>
      <c r="AG227" s="108">
        <f>SUM(AG217:AG226)</f>
        <v>6.617708682110146</v>
      </c>
      <c r="AI227" s="108">
        <f>SUM(AI217:AI226)</f>
        <v>7.377601794572273</v>
      </c>
    </row>
    <row r="228" ht="13.5" thickBot="1">
      <c r="B228" s="58"/>
    </row>
    <row r="229" spans="1:35" ht="12.75">
      <c r="A229" s="52"/>
      <c r="B229" s="204" t="s">
        <v>333</v>
      </c>
      <c r="C229" s="181"/>
      <c r="D229" s="181"/>
      <c r="E229" s="182"/>
      <c r="G229" s="24" t="s">
        <v>330</v>
      </c>
      <c r="O229" s="108">
        <f>O227+O213</f>
        <v>2.221595238095238</v>
      </c>
      <c r="Q229" s="108">
        <f>Q227+Q213</f>
        <v>13.32957142857143</v>
      </c>
      <c r="S229" s="108">
        <f>S227+S213</f>
        <v>14.034571428571429</v>
      </c>
      <c r="U229" s="108">
        <f>U227+U213</f>
        <v>14.743337454212455</v>
      </c>
      <c r="W229" s="108">
        <f>W227+W213</f>
        <v>15.45919114010989</v>
      </c>
      <c r="Y229" s="108">
        <f>Y227+Y213</f>
        <v>16.1822033628663</v>
      </c>
      <c r="AA229" s="108">
        <f>AA227+AA213</f>
        <v>16.912445707850274</v>
      </c>
      <c r="AC229" s="108">
        <f>AC227+AC213</f>
        <v>17.64999047628409</v>
      </c>
      <c r="AE229" s="108">
        <f>AE227+AE213</f>
        <v>18.39491069240224</v>
      </c>
      <c r="AG229" s="108">
        <f>AG227+AG213</f>
        <v>19.147280110681574</v>
      </c>
      <c r="AI229" s="108">
        <f>AI227+AI213</f>
        <v>19.9071732231437</v>
      </c>
    </row>
    <row r="230" spans="1:35" ht="12.75">
      <c r="A230" s="52"/>
      <c r="B230" s="205" t="s">
        <v>31</v>
      </c>
      <c r="C230" s="206"/>
      <c r="D230" s="206"/>
      <c r="E230" s="207"/>
      <c r="G230" t="s">
        <v>331</v>
      </c>
      <c r="O230" s="94">
        <f>stub*Q230</f>
        <v>2.3499999999999996</v>
      </c>
      <c r="Q230" s="96">
        <f>'Target P&amp;L'!M22</f>
        <v>14.1</v>
      </c>
      <c r="S230" s="96">
        <f>'Target P&amp;L'!O22</f>
        <v>14.1</v>
      </c>
      <c r="U230" s="96">
        <f>'Target P&amp;L'!Q22</f>
        <v>14.1</v>
      </c>
      <c r="W230" s="96">
        <f>'Target P&amp;L'!S22</f>
        <v>14.241</v>
      </c>
      <c r="Y230" s="96">
        <f>'Target P&amp;L'!U22</f>
        <v>14.38341</v>
      </c>
      <c r="AA230" s="146">
        <f>AA50*Y230/Y50</f>
        <v>14.527244099999999</v>
      </c>
      <c r="AC230" s="146">
        <f>AC50*AA230/AA50</f>
        <v>14.672516541</v>
      </c>
      <c r="AE230" s="146">
        <f>AE50*AC230/AC50</f>
        <v>14.819241706410002</v>
      </c>
      <c r="AG230" s="146">
        <f>AG50*AE230/AE50</f>
        <v>14.967434123474101</v>
      </c>
      <c r="AI230" s="146">
        <f>AI50*AG230/AG50</f>
        <v>15.117108464708842</v>
      </c>
    </row>
    <row r="231" spans="1:5" ht="13.5" thickBot="1">
      <c r="A231" s="52"/>
      <c r="B231" s="184" t="s">
        <v>334</v>
      </c>
      <c r="C231" s="184"/>
      <c r="D231" s="184"/>
      <c r="E231" s="208"/>
    </row>
    <row r="232" spans="1:35" ht="13.5" thickBot="1">
      <c r="A232" s="52"/>
      <c r="B232" s="209">
        <v>0</v>
      </c>
      <c r="C232" s="210"/>
      <c r="D232" s="211" t="str">
        <f>IF(depr=0,"Manual","Computed")</f>
        <v>Computed</v>
      </c>
      <c r="E232" s="210"/>
      <c r="G232" s="10" t="s">
        <v>332</v>
      </c>
      <c r="O232" s="106">
        <f>IF($B$232=0,O230,O229)</f>
        <v>2.3499999999999996</v>
      </c>
      <c r="Q232" s="106">
        <f>IF($B$232=0,Q230,Q229)</f>
        <v>14.1</v>
      </c>
      <c r="S232" s="106">
        <f>IF($B$232=0,S230,S229)</f>
        <v>14.1</v>
      </c>
      <c r="U232" s="106">
        <f>IF($B$232=0,U230,U229)</f>
        <v>14.1</v>
      </c>
      <c r="W232" s="106">
        <f>IF($B$232=0,W230,W229)</f>
        <v>14.241</v>
      </c>
      <c r="Y232" s="106">
        <f>IF($B$232=0,Y230,Y229)</f>
        <v>14.38341</v>
      </c>
      <c r="AA232" s="106">
        <f>IF($B$232=0,AA230,AA229)</f>
        <v>14.527244099999999</v>
      </c>
      <c r="AC232" s="106">
        <f>IF($B$232=0,AC230,AC229)</f>
        <v>14.672516541</v>
      </c>
      <c r="AE232" s="106">
        <f>IF($B$232=0,AE230,AE229)</f>
        <v>14.819241706410002</v>
      </c>
      <c r="AG232" s="106">
        <f>IF($B$232=0,AG230,AG229)</f>
        <v>14.967434123474101</v>
      </c>
      <c r="AI232" s="106">
        <f>IF($B$232=0,AI230,AI229)</f>
        <v>15.117108464708842</v>
      </c>
    </row>
    <row r="233" ht="13.5" thickTop="1"/>
    <row r="234" spans="1:35" ht="12.75">
      <c r="A234" s="4" t="s">
        <v>278</v>
      </c>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row>
    <row r="235" ht="12.75">
      <c r="A235" s="3" t="str">
        <f>$A$2</f>
        <v>($ in millions, except per share data)</v>
      </c>
    </row>
    <row r="236" spans="15:35" ht="13.5" thickBot="1">
      <c r="O236" s="22" t="str">
        <f>O$46</f>
        <v>2 Mos.</v>
      </c>
      <c r="Q236" s="20" t="str">
        <f>Q$263</f>
        <v>Projected Fiscal Years Ending September 30,</v>
      </c>
      <c r="R236" s="20"/>
      <c r="S236" s="20"/>
      <c r="T236" s="20"/>
      <c r="U236" s="20"/>
      <c r="V236" s="20"/>
      <c r="W236" s="20"/>
      <c r="X236" s="20"/>
      <c r="Y236" s="20"/>
      <c r="Z236" s="20"/>
      <c r="AA236" s="20"/>
      <c r="AB236" s="20"/>
      <c r="AC236" s="20"/>
      <c r="AD236" s="20"/>
      <c r="AE236" s="20"/>
      <c r="AF236" s="20"/>
      <c r="AG236" s="20"/>
      <c r="AH236" s="20"/>
      <c r="AI236" s="20"/>
    </row>
    <row r="237" spans="15:35" ht="12.75">
      <c r="O237" s="22" t="str">
        <f>O$47</f>
        <v>Ending</v>
      </c>
      <c r="Q237" s="81">
        <f>Q$264</f>
        <v>1</v>
      </c>
      <c r="S237" s="81">
        <f>S$264</f>
        <v>2</v>
      </c>
      <c r="U237" s="81">
        <f>U$264</f>
        <v>3</v>
      </c>
      <c r="W237" s="81">
        <f>W$264</f>
        <v>4</v>
      </c>
      <c r="Y237" s="81">
        <f>Y$264</f>
        <v>5</v>
      </c>
      <c r="AA237" s="81">
        <f>AA$264</f>
        <v>6</v>
      </c>
      <c r="AC237" s="81">
        <f>AC$264</f>
        <v>7</v>
      </c>
      <c r="AE237" s="81">
        <f>AE$264</f>
        <v>8</v>
      </c>
      <c r="AG237" s="81">
        <f>AG$264</f>
        <v>9</v>
      </c>
      <c r="AI237" s="81">
        <f>AI$264</f>
        <v>10</v>
      </c>
    </row>
    <row r="238" spans="15:35" ht="13.5" thickBot="1">
      <c r="O238" s="97" t="str">
        <f>O$48</f>
        <v>9/30/2008</v>
      </c>
      <c r="Q238" s="82">
        <f>Q$265</f>
        <v>2008</v>
      </c>
      <c r="S238" s="82">
        <f>S$265</f>
        <v>2009</v>
      </c>
      <c r="U238" s="82">
        <f>U$265</f>
        <v>2010</v>
      </c>
      <c r="W238" s="82">
        <f>W$265</f>
        <v>2011</v>
      </c>
      <c r="Y238" s="82">
        <f>Y$265</f>
        <v>2012</v>
      </c>
      <c r="AA238" s="82">
        <f>AA$265</f>
        <v>2013</v>
      </c>
      <c r="AC238" s="82">
        <f>AC$265</f>
        <v>2014</v>
      </c>
      <c r="AE238" s="82">
        <f>AE$265</f>
        <v>2015</v>
      </c>
      <c r="AG238" s="82">
        <f>AG$265</f>
        <v>2016</v>
      </c>
      <c r="AI238" s="82">
        <f>AI$265</f>
        <v>2017</v>
      </c>
    </row>
    <row r="239" ht="4.5" customHeight="1"/>
    <row r="240" spans="1:35" ht="12.75">
      <c r="A240" t="s">
        <v>279</v>
      </c>
      <c r="O240" s="67">
        <f>tax_rate</f>
        <v>0.35</v>
      </c>
      <c r="Q240" s="67">
        <f>tax_rate</f>
        <v>0.35</v>
      </c>
      <c r="S240" s="67">
        <f>tax_rate</f>
        <v>0.35</v>
      </c>
      <c r="U240" s="67">
        <f>tax_rate</f>
        <v>0.35</v>
      </c>
      <c r="W240" s="67">
        <f>tax_rate</f>
        <v>0.35</v>
      </c>
      <c r="Y240" s="67">
        <f>tax_rate</f>
        <v>0.35</v>
      </c>
      <c r="AA240" s="67">
        <f>tax_rate</f>
        <v>0.35</v>
      </c>
      <c r="AC240" s="67">
        <f>tax_rate</f>
        <v>0.35</v>
      </c>
      <c r="AE240" s="67">
        <f>tax_rate</f>
        <v>0.35</v>
      </c>
      <c r="AG240" s="67">
        <f>tax_rate</f>
        <v>0.35</v>
      </c>
      <c r="AI240" s="67">
        <f>tax_rate</f>
        <v>0.35</v>
      </c>
    </row>
    <row r="242" ht="12.75">
      <c r="A242" s="83" t="s">
        <v>280</v>
      </c>
    </row>
    <row r="243" ht="12.75">
      <c r="B243" t="s">
        <v>281</v>
      </c>
    </row>
    <row r="244" spans="2:35" ht="13.5" thickBot="1">
      <c r="B244" s="177" t="s">
        <v>282</v>
      </c>
      <c r="C244" t="s">
        <v>72</v>
      </c>
      <c r="I244" s="180" t="s">
        <v>296</v>
      </c>
      <c r="J244" s="181"/>
      <c r="K244" s="181"/>
      <c r="L244" s="181"/>
      <c r="M244" s="182"/>
      <c r="O244" s="38">
        <v>0</v>
      </c>
      <c r="P244" s="197"/>
      <c r="Q244" s="94">
        <f>O244</f>
        <v>0</v>
      </c>
      <c r="R244" s="197"/>
      <c r="S244" s="94">
        <f>Q244</f>
        <v>0</v>
      </c>
      <c r="T244" s="197"/>
      <c r="U244" s="94">
        <f>S244</f>
        <v>0</v>
      </c>
      <c r="V244" s="197"/>
      <c r="W244" s="94">
        <f>U244</f>
        <v>0</v>
      </c>
      <c r="X244" s="197"/>
      <c r="Y244" s="94">
        <f>W244</f>
        <v>0</v>
      </c>
      <c r="Z244" s="197"/>
      <c r="AA244" s="94">
        <f>Y244</f>
        <v>0</v>
      </c>
      <c r="AB244" s="197"/>
      <c r="AC244" s="94">
        <f>AA244</f>
        <v>0</v>
      </c>
      <c r="AD244" s="197"/>
      <c r="AE244" s="94">
        <f>AC244</f>
        <v>0</v>
      </c>
      <c r="AF244" s="197"/>
      <c r="AG244" s="94">
        <f>AE244</f>
        <v>0</v>
      </c>
      <c r="AI244" s="94">
        <f>AG244</f>
        <v>0</v>
      </c>
    </row>
    <row r="245" spans="2:35" ht="12.75">
      <c r="B245" s="177" t="s">
        <v>283</v>
      </c>
      <c r="C245" t="str">
        <f>"Adjusted "&amp;B243</f>
        <v>Adjusted Book Taxable Income</v>
      </c>
      <c r="I245" s="183"/>
      <c r="J245" s="184"/>
      <c r="K245" s="185" t="s">
        <v>297</v>
      </c>
      <c r="L245" s="184"/>
      <c r="M245" s="186" t="s">
        <v>298</v>
      </c>
      <c r="O245" s="108">
        <f>SUM(O243:O244)</f>
        <v>0</v>
      </c>
      <c r="Q245" s="108">
        <f>SUM(Q243:Q244)</f>
        <v>0</v>
      </c>
      <c r="S245" s="108">
        <f>SUM(S243:S244)</f>
        <v>0</v>
      </c>
      <c r="U245" s="108">
        <f>SUM(U243:U244)</f>
        <v>0</v>
      </c>
      <c r="W245" s="108">
        <f>SUM(W243:W244)</f>
        <v>0</v>
      </c>
      <c r="Y245" s="108">
        <f>SUM(Y243:Y244)</f>
        <v>0</v>
      </c>
      <c r="AA245" s="108">
        <f>SUM(AA243:AA244)</f>
        <v>0</v>
      </c>
      <c r="AC245" s="108">
        <f>SUM(AC243:AC244)</f>
        <v>0</v>
      </c>
      <c r="AE245" s="108">
        <f>SUM(AE243:AE244)</f>
        <v>0</v>
      </c>
      <c r="AG245" s="108">
        <f>SUM(AG243:AG244)</f>
        <v>0</v>
      </c>
      <c r="AI245" s="108">
        <f>SUM(AI243:AI244)</f>
        <v>0</v>
      </c>
    </row>
    <row r="246" spans="3:35" ht="12.75">
      <c r="C246" t="s">
        <v>284</v>
      </c>
      <c r="I246" s="187" t="s">
        <v>299</v>
      </c>
      <c r="J246" s="44"/>
      <c r="K246" s="188">
        <f>AI7</f>
        <v>5</v>
      </c>
      <c r="L246" s="44"/>
      <c r="M246" s="189">
        <v>15</v>
      </c>
      <c r="O246" s="146">
        <f>O245*O240</f>
        <v>0</v>
      </c>
      <c r="Q246" s="146">
        <f>Q245*Q240</f>
        <v>0</v>
      </c>
      <c r="S246" s="146">
        <f>S245*S240</f>
        <v>0</v>
      </c>
      <c r="U246" s="146">
        <f>U245*U240</f>
        <v>0</v>
      </c>
      <c r="W246" s="146">
        <f>W245*W240</f>
        <v>0</v>
      </c>
      <c r="Y246" s="146">
        <f>Y245*Y240</f>
        <v>0</v>
      </c>
      <c r="AA246" s="146">
        <f>AA245*AA240</f>
        <v>0</v>
      </c>
      <c r="AC246" s="146">
        <f>AC245*AC240</f>
        <v>0</v>
      </c>
      <c r="AE246" s="146">
        <f>AE245*AE240</f>
        <v>0</v>
      </c>
      <c r="AG246" s="146">
        <f>AG245*AG240</f>
        <v>0</v>
      </c>
      <c r="AI246" s="146">
        <f>AI245*AI240</f>
        <v>0</v>
      </c>
    </row>
    <row r="247" spans="9:13" ht="12.75">
      <c r="I247" s="190" t="s">
        <v>258</v>
      </c>
      <c r="J247" s="58"/>
      <c r="K247" s="191">
        <f>AG22/K246</f>
        <v>23.256656374999995</v>
      </c>
      <c r="L247" s="58"/>
      <c r="M247" s="192">
        <f>AI45*AG55/M246</f>
        <v>0</v>
      </c>
    </row>
    <row r="248" ht="12.75">
      <c r="A248" s="83" t="s">
        <v>285</v>
      </c>
    </row>
    <row r="249" spans="2:35" ht="12.75">
      <c r="B249" t="str">
        <f>B243</f>
        <v>Book Taxable Income</v>
      </c>
      <c r="I249" s="180" t="s">
        <v>300</v>
      </c>
      <c r="J249" s="181"/>
      <c r="K249" s="181"/>
      <c r="L249" s="181"/>
      <c r="M249" s="182"/>
      <c r="O249" s="136">
        <f>O243</f>
        <v>0</v>
      </c>
      <c r="Q249" s="136">
        <f>Q243</f>
        <v>0</v>
      </c>
      <c r="S249" s="136">
        <f>S243</f>
        <v>0</v>
      </c>
      <c r="U249" s="136">
        <f>U243</f>
        <v>0</v>
      </c>
      <c r="W249" s="136">
        <f>W243</f>
        <v>0</v>
      </c>
      <c r="Y249" s="136">
        <f>Y243</f>
        <v>0</v>
      </c>
      <c r="AA249" s="136">
        <f>AA243</f>
        <v>0</v>
      </c>
      <c r="AC249" s="136">
        <f>AC243</f>
        <v>0</v>
      </c>
      <c r="AE249" s="136">
        <f>AE243</f>
        <v>0</v>
      </c>
      <c r="AG249" s="136">
        <f>AG243</f>
        <v>0</v>
      </c>
      <c r="AI249" s="136">
        <f>AI243</f>
        <v>0</v>
      </c>
    </row>
    <row r="250" spans="2:35" ht="12.75">
      <c r="B250" s="178" t="s">
        <v>286</v>
      </c>
      <c r="I250" s="183"/>
      <c r="J250" s="184"/>
      <c r="K250" s="185" t="s">
        <v>297</v>
      </c>
      <c r="L250" s="184"/>
      <c r="M250" s="186" t="s">
        <v>298</v>
      </c>
      <c r="O250" s="146">
        <f>stub*K247</f>
        <v>3.8761093958333324</v>
      </c>
      <c r="Q250" s="146">
        <f aca="true" t="shared" si="29" ref="Q250:Q258">O250</f>
        <v>3.8761093958333324</v>
      </c>
      <c r="S250" s="146">
        <f>MIN($K$247,$AG$22-SUM($Q250:Q250))</f>
        <v>23.256656374999995</v>
      </c>
      <c r="U250" s="146">
        <f>MIN($K$247,$AG$22-SUM($Q250:S250))</f>
        <v>23.256656374999995</v>
      </c>
      <c r="W250" s="146">
        <f>MIN($K$247,$AG$22-SUM($Q250:U250))</f>
        <v>23.256656374999995</v>
      </c>
      <c r="Y250" s="146">
        <f>MIN($K$247,$AG$22-SUM($Q250:W250))</f>
        <v>23.256656374999995</v>
      </c>
      <c r="AA250" s="146">
        <f>MIN($K$247,$AG$22-SUM($Q250:Y250))</f>
        <v>19.380546979166667</v>
      </c>
      <c r="AC250" s="146">
        <f>MIN($K$247,$AG$22-SUM($Q250:AA250))</f>
        <v>0</v>
      </c>
      <c r="AE250" s="146">
        <f>MIN($K$247,$AG$22-SUM($Q250:AC250))</f>
        <v>0</v>
      </c>
      <c r="AG250" s="146">
        <f>MIN($K$247,$AG$22-SUM($Q250:AE250))</f>
        <v>0</v>
      </c>
      <c r="AI250" s="146">
        <f>MIN($K$247,$AG$22-SUM($Q250:AG250))</f>
        <v>0</v>
      </c>
    </row>
    <row r="251" spans="2:35" ht="12.75">
      <c r="B251" s="177" t="s">
        <v>287</v>
      </c>
      <c r="I251" s="193" t="s">
        <v>299</v>
      </c>
      <c r="J251" s="6"/>
      <c r="K251" s="194" t="s">
        <v>24</v>
      </c>
      <c r="L251" s="6"/>
      <c r="M251" s="195">
        <f>M246</f>
        <v>15</v>
      </c>
      <c r="O251" s="146">
        <f>$K$163</f>
        <v>0</v>
      </c>
      <c r="Q251" s="146">
        <f t="shared" si="29"/>
        <v>0</v>
      </c>
      <c r="S251" s="146">
        <f>$K$252</f>
        <v>0</v>
      </c>
      <c r="U251" s="146">
        <f>$K$252</f>
        <v>0</v>
      </c>
      <c r="W251" s="146">
        <f>$K$252</f>
        <v>0</v>
      </c>
      <c r="Y251" s="146">
        <f>$K$252</f>
        <v>0</v>
      </c>
      <c r="AA251" s="146">
        <f>$K$252</f>
        <v>0</v>
      </c>
      <c r="AC251" s="146">
        <f>$K$252</f>
        <v>0</v>
      </c>
      <c r="AE251" s="146">
        <f>$K$252</f>
        <v>0</v>
      </c>
      <c r="AG251" s="146">
        <f>$K$252</f>
        <v>0</v>
      </c>
      <c r="AI251" s="146">
        <f>$K$252</f>
        <v>0</v>
      </c>
    </row>
    <row r="252" spans="2:35" ht="12.75">
      <c r="B252" s="177" t="s">
        <v>288</v>
      </c>
      <c r="I252" s="190" t="s">
        <v>258</v>
      </c>
      <c r="J252" s="58"/>
      <c r="K252" s="196">
        <v>0</v>
      </c>
      <c r="L252" s="58"/>
      <c r="M252" s="192">
        <f>AI45*goodwill/M251</f>
        <v>0</v>
      </c>
      <c r="O252" s="146">
        <f>stub*K257</f>
        <v>0.3125</v>
      </c>
      <c r="Q252" s="146">
        <f t="shared" si="29"/>
        <v>0.3125</v>
      </c>
      <c r="S252" s="146">
        <f>MIN($K$257,$AG$21-SUM($Q252:Q252))</f>
        <v>1.875</v>
      </c>
      <c r="U252" s="146">
        <f>MIN($K$257,$AG$21-SUM($Q252:S252))</f>
        <v>1.875</v>
      </c>
      <c r="W252" s="146">
        <f>MIN($K$257,$AG$21-SUM($Q252:U252))</f>
        <v>1.875</v>
      </c>
      <c r="Y252" s="146">
        <f>MIN($K$257,$AG$21-SUM($Q252:W252))</f>
        <v>1.875</v>
      </c>
      <c r="AA252" s="146">
        <f>MIN($K$257,$AG$21-SUM($Q252:Y252))</f>
        <v>1.875</v>
      </c>
      <c r="AC252" s="146">
        <f>MIN($K$257,$AG$21-SUM($Q252:AA252))</f>
        <v>1.875</v>
      </c>
      <c r="AE252" s="146">
        <f>MIN($K$257,$AG$21-SUM($Q252:AC252))</f>
        <v>1.875</v>
      </c>
      <c r="AG252" s="146">
        <f>MIN($K$257,$AG$21-SUM($Q252:AE252))</f>
        <v>1.5625</v>
      </c>
      <c r="AI252" s="146">
        <f>MIN($K$257,$AG$21-SUM($Q252:AG252))</f>
        <v>0</v>
      </c>
    </row>
    <row r="253" spans="2:35" ht="12.75">
      <c r="B253" s="177" t="s">
        <v>289</v>
      </c>
      <c r="O253" s="43">
        <v>0</v>
      </c>
      <c r="Q253" s="146">
        <f t="shared" si="29"/>
        <v>0</v>
      </c>
      <c r="S253" s="43">
        <v>0</v>
      </c>
      <c r="U253" s="43">
        <v>0</v>
      </c>
      <c r="W253" s="43">
        <v>0</v>
      </c>
      <c r="Y253" s="43">
        <v>0</v>
      </c>
      <c r="AA253" s="43">
        <v>0</v>
      </c>
      <c r="AC253" s="43">
        <v>0</v>
      </c>
      <c r="AE253" s="43">
        <v>0</v>
      </c>
      <c r="AG253" s="43">
        <v>0</v>
      </c>
      <c r="AI253" s="43">
        <v>0</v>
      </c>
    </row>
    <row r="254" spans="2:35" ht="12.75">
      <c r="B254" s="179" t="s">
        <v>290</v>
      </c>
      <c r="I254" s="180" t="s">
        <v>301</v>
      </c>
      <c r="J254" s="181"/>
      <c r="K254" s="181"/>
      <c r="L254" s="181"/>
      <c r="M254" s="182"/>
      <c r="O254" s="43">
        <v>0</v>
      </c>
      <c r="Q254" s="37">
        <f t="shared" si="29"/>
        <v>0</v>
      </c>
      <c r="S254" s="43">
        <v>0</v>
      </c>
      <c r="U254" s="43">
        <v>0</v>
      </c>
      <c r="W254" s="43">
        <v>0</v>
      </c>
      <c r="Y254" s="43">
        <v>0</v>
      </c>
      <c r="AA254" s="43">
        <v>0</v>
      </c>
      <c r="AC254" s="43">
        <v>0</v>
      </c>
      <c r="AE254" s="43">
        <v>0</v>
      </c>
      <c r="AG254" s="43">
        <v>0</v>
      </c>
      <c r="AI254" s="43">
        <v>0</v>
      </c>
    </row>
    <row r="255" spans="2:35" ht="12.75">
      <c r="B255" s="177" t="s">
        <v>291</v>
      </c>
      <c r="I255" s="183"/>
      <c r="J255" s="184"/>
      <c r="K255" s="185" t="s">
        <v>297</v>
      </c>
      <c r="L255" s="184"/>
      <c r="M255" s="186" t="s">
        <v>298</v>
      </c>
      <c r="O255" s="146">
        <f>-stub*M247</f>
        <v>0</v>
      </c>
      <c r="Q255" s="37">
        <f t="shared" si="29"/>
        <v>0</v>
      </c>
      <c r="S255" s="37">
        <f>MIN($M$247,$AG$22-SUM($Q255:Q255))</f>
        <v>0</v>
      </c>
      <c r="U255" s="37">
        <f>MIN($M$247,$AG$22-SUM($Q255:S255))</f>
        <v>0</v>
      </c>
      <c r="W255" s="37">
        <f>MIN($M$247,$AG$22-SUM($Q255:U255))</f>
        <v>0</v>
      </c>
      <c r="Y255" s="37">
        <f>MIN($M$247,$AG$22-SUM($Q255:W255))</f>
        <v>0</v>
      </c>
      <c r="AA255" s="37">
        <f>MIN($M$247,$AG$22-SUM($Q255:Y255))</f>
        <v>0</v>
      </c>
      <c r="AC255" s="37">
        <f>MIN($M$247,$AG$22-SUM($Q255:AA255))</f>
        <v>0</v>
      </c>
      <c r="AE255" s="37">
        <f>MIN($M$247,$AG$22-SUM($Q255:AC255))</f>
        <v>0</v>
      </c>
      <c r="AG255" s="37">
        <f>MIN($M$247,$AG$22-SUM($Q255:AE255))</f>
        <v>0</v>
      </c>
      <c r="AI255" s="37">
        <f>MIN($M$247,$AG$22-SUM($Q255:AG255))</f>
        <v>0</v>
      </c>
    </row>
    <row r="256" spans="2:35" ht="12.75">
      <c r="B256" s="177" t="s">
        <v>292</v>
      </c>
      <c r="I256" s="187" t="s">
        <v>299</v>
      </c>
      <c r="J256" s="44"/>
      <c r="K256" s="188">
        <f>AI9</f>
        <v>8</v>
      </c>
      <c r="L256" s="44"/>
      <c r="M256" s="189">
        <v>6</v>
      </c>
      <c r="O256" s="146">
        <f>-stub*M252</f>
        <v>0</v>
      </c>
      <c r="Q256" s="37">
        <f t="shared" si="29"/>
        <v>0</v>
      </c>
      <c r="S256" s="37">
        <f>MIN($M$252,goodwill-SUM($Q256:Q256))</f>
        <v>0</v>
      </c>
      <c r="U256" s="37">
        <f>MIN($M$252,goodwill-SUM($Q256:S256))</f>
        <v>0</v>
      </c>
      <c r="W256" s="37">
        <f>MIN($M$252,goodwill-SUM($Q256:U256))</f>
        <v>0</v>
      </c>
      <c r="Y256" s="37">
        <f>MIN($M$252,goodwill-SUM($Q256:W256))</f>
        <v>0</v>
      </c>
      <c r="AA256" s="37">
        <f>MIN($M$252,goodwill-SUM($Q256:Y256))</f>
        <v>0</v>
      </c>
      <c r="AC256" s="37">
        <f>MIN($M$252,goodwill-SUM($Q256:AA256))</f>
        <v>0</v>
      </c>
      <c r="AE256" s="37">
        <f>MIN($M$252,goodwill-SUM($Q256:AC256))</f>
        <v>0</v>
      </c>
      <c r="AG256" s="37">
        <f>MIN($M$252,goodwill-SUM($Q256:AE256))</f>
        <v>0</v>
      </c>
      <c r="AI256" s="37">
        <f>MIN($M$252,goodwill-SUM($Q256:AG256))</f>
        <v>0</v>
      </c>
    </row>
    <row r="257" spans="2:35" ht="12.75">
      <c r="B257" s="177" t="s">
        <v>293</v>
      </c>
      <c r="I257" s="190" t="s">
        <v>258</v>
      </c>
      <c r="J257" s="58"/>
      <c r="K257" s="191">
        <f>AG21/K256</f>
        <v>1.875</v>
      </c>
      <c r="L257" s="58"/>
      <c r="M257" s="192">
        <f>AI45*AG54/M256</f>
        <v>0</v>
      </c>
      <c r="O257" s="146">
        <f>-stub*M257</f>
        <v>0</v>
      </c>
      <c r="Q257" s="37">
        <f t="shared" si="29"/>
        <v>0</v>
      </c>
      <c r="S257" s="37">
        <f>MIN($M$257,$AG$21-SUM($Q257:Q257))</f>
        <v>0</v>
      </c>
      <c r="U257" s="37">
        <f>MIN($M$257,$AG$21-SUM($Q257:S257))</f>
        <v>0</v>
      </c>
      <c r="W257" s="37">
        <f>MIN($M$257,$AG$21-SUM($Q257:U257))</f>
        <v>0</v>
      </c>
      <c r="Y257" s="37">
        <f>MIN($M$257,$AG$21-SUM($Q257:W257))</f>
        <v>0</v>
      </c>
      <c r="AA257" s="37">
        <f>MIN($M$257,$AG$21-SUM($Q257:Y257))</f>
        <v>0</v>
      </c>
      <c r="AC257" s="37">
        <f>MIN($M$257,$AG$21-SUM($Q257:AA257))</f>
        <v>0</v>
      </c>
      <c r="AE257" s="37">
        <f>MIN($M$257,$AG$21-SUM($Q257:AC257))</f>
        <v>0</v>
      </c>
      <c r="AG257" s="37">
        <f>MIN($M$257,$AG$21-SUM($Q257:AE257))</f>
        <v>0</v>
      </c>
      <c r="AI257" s="37">
        <f>MIN($M$257,$AG$21-SUM($Q257:AG257))</f>
        <v>0</v>
      </c>
    </row>
    <row r="258" spans="2:35" ht="13.5" thickBot="1">
      <c r="B258" s="177" t="s">
        <v>294</v>
      </c>
      <c r="O258" s="43">
        <v>0</v>
      </c>
      <c r="Q258" s="37">
        <f t="shared" si="29"/>
        <v>0</v>
      </c>
      <c r="S258" s="43">
        <v>0</v>
      </c>
      <c r="U258" s="43">
        <v>0</v>
      </c>
      <c r="W258" s="43">
        <v>0</v>
      </c>
      <c r="Y258" s="43">
        <v>0</v>
      </c>
      <c r="AA258" s="43">
        <v>0</v>
      </c>
      <c r="AC258" s="43">
        <v>0</v>
      </c>
      <c r="AE258" s="43">
        <v>0</v>
      </c>
      <c r="AG258" s="43">
        <v>0</v>
      </c>
      <c r="AI258" s="43">
        <v>0</v>
      </c>
    </row>
    <row r="259" spans="2:35" ht="12.75">
      <c r="B259" s="177" t="s">
        <v>295</v>
      </c>
      <c r="O259" s="108">
        <f>SUM(O249:O258)</f>
        <v>4.188609395833332</v>
      </c>
      <c r="Q259" s="108">
        <f>SUM(Q249:Q258)</f>
        <v>4.188609395833332</v>
      </c>
      <c r="S259" s="108">
        <f>SUM(S249:S258)</f>
        <v>25.131656374999995</v>
      </c>
      <c r="U259" s="108">
        <f>SUM(U249:U258)</f>
        <v>25.131656374999995</v>
      </c>
      <c r="W259" s="108">
        <f>SUM(W249:W258)</f>
        <v>25.131656374999995</v>
      </c>
      <c r="Y259" s="108">
        <f>SUM(Y249:Y258)</f>
        <v>25.131656374999995</v>
      </c>
      <c r="AA259" s="108">
        <f>SUM(AA249:AA258)</f>
        <v>21.255546979166667</v>
      </c>
      <c r="AC259" s="108">
        <f>SUM(AC249:AC258)</f>
        <v>1.875</v>
      </c>
      <c r="AE259" s="108">
        <f>SUM(AE249:AE258)</f>
        <v>1.875</v>
      </c>
      <c r="AG259" s="108">
        <f>SUM(AG249:AG258)</f>
        <v>1.5625</v>
      </c>
      <c r="AI259" s="108">
        <f>SUM(AI249:AI258)</f>
        <v>0</v>
      </c>
    </row>
    <row r="261" spans="1:35" ht="12.75">
      <c r="A261" s="4" t="s">
        <v>52</v>
      </c>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row>
    <row r="262" ht="12.75">
      <c r="A262" s="3" t="str">
        <f>$A$2</f>
        <v>($ in millions, except per share data)</v>
      </c>
    </row>
    <row r="263" spans="17:35" ht="13.5" customHeight="1" thickBot="1">
      <c r="Q263" s="20" t="str">
        <f>"Projected Fiscal Years Ending "&amp;TEXT(fye,"mmmm dd")&amp;","</f>
        <v>Projected Fiscal Years Ending September 30,</v>
      </c>
      <c r="R263" s="20"/>
      <c r="S263" s="20"/>
      <c r="T263" s="20"/>
      <c r="U263" s="20"/>
      <c r="V263" s="20"/>
      <c r="W263" s="20"/>
      <c r="X263" s="20"/>
      <c r="Y263" s="20"/>
      <c r="Z263" s="20"/>
      <c r="AA263" s="20"/>
      <c r="AB263" s="20"/>
      <c r="AC263" s="20"/>
      <c r="AD263" s="20"/>
      <c r="AE263" s="20"/>
      <c r="AF263" s="20"/>
      <c r="AG263" s="20"/>
      <c r="AH263" s="20"/>
      <c r="AI263" s="20"/>
    </row>
    <row r="264" spans="17:35" ht="12.75">
      <c r="Q264" s="87">
        <v>1</v>
      </c>
      <c r="S264" s="81">
        <f>Q264+1</f>
        <v>2</v>
      </c>
      <c r="U264" s="81">
        <f>S264+1</f>
        <v>3</v>
      </c>
      <c r="W264" s="81">
        <f>U264+1</f>
        <v>4</v>
      </c>
      <c r="Y264" s="81">
        <f>W264+1</f>
        <v>5</v>
      </c>
      <c r="AA264" s="81">
        <f>Y264+1</f>
        <v>6</v>
      </c>
      <c r="AC264" s="81">
        <f>AA264+1</f>
        <v>7</v>
      </c>
      <c r="AE264" s="81">
        <f>AC264+1</f>
        <v>8</v>
      </c>
      <c r="AG264" s="81">
        <f>AE264+1</f>
        <v>9</v>
      </c>
      <c r="AI264" s="81">
        <f>AG264+1</f>
        <v>10</v>
      </c>
    </row>
    <row r="265" spans="17:35" ht="13.5" customHeight="1" thickBot="1">
      <c r="Q265" s="88">
        <f>'Target P&amp;L'!M5</f>
        <v>2008</v>
      </c>
      <c r="S265" s="82">
        <f>Q265+1</f>
        <v>2009</v>
      </c>
      <c r="U265" s="82">
        <f>S265+1</f>
        <v>2010</v>
      </c>
      <c r="W265" s="82">
        <f>U265+1</f>
        <v>2011</v>
      </c>
      <c r="Y265" s="82">
        <f>W265+1</f>
        <v>2012</v>
      </c>
      <c r="AA265" s="82">
        <f>Y265+1</f>
        <v>2013</v>
      </c>
      <c r="AC265" s="82">
        <f>AA265+1</f>
        <v>2014</v>
      </c>
      <c r="AE265" s="82">
        <f>AC265+1</f>
        <v>2015</v>
      </c>
      <c r="AG265" s="82">
        <f>AE265+1</f>
        <v>2016</v>
      </c>
      <c r="AI265" s="82">
        <f>AG265+1</f>
        <v>2017</v>
      </c>
    </row>
    <row r="266" ht="12.75">
      <c r="A266" s="83" t="s">
        <v>53</v>
      </c>
    </row>
    <row r="267" spans="2:35" ht="12.75">
      <c r="B267" s="84" t="s">
        <v>54</v>
      </c>
      <c r="Q267" s="35">
        <v>0.14</v>
      </c>
      <c r="S267" s="35">
        <v>0.045</v>
      </c>
      <c r="U267" s="35">
        <v>0.036</v>
      </c>
      <c r="W267" s="35">
        <v>0.024</v>
      </c>
      <c r="Y267" s="35">
        <v>0.024</v>
      </c>
      <c r="AA267" s="35">
        <v>0.024</v>
      </c>
      <c r="AC267" s="35">
        <v>0.024</v>
      </c>
      <c r="AE267" s="35">
        <v>0.024</v>
      </c>
      <c r="AG267" s="35">
        <v>0.024</v>
      </c>
      <c r="AI267" s="35">
        <v>0.024</v>
      </c>
    </row>
    <row r="268" spans="2:35" ht="12.75">
      <c r="B268" s="84" t="s">
        <v>55</v>
      </c>
      <c r="Q268" s="85">
        <f>'Target P&amp;L'!M8</f>
        <v>0.1381366459627329</v>
      </c>
      <c r="S268" s="85">
        <f>'Target P&amp;L'!O8</f>
        <v>0.0216110019646365</v>
      </c>
      <c r="U268" s="85">
        <f>'Target P&amp;L'!Q8</f>
        <v>0.005341880341880323</v>
      </c>
      <c r="W268" s="85">
        <f>'Target P&amp;L'!S8</f>
        <v>0.01</v>
      </c>
      <c r="Y268" s="85">
        <f>'Target P&amp;L'!U8</f>
        <v>0.01</v>
      </c>
      <c r="AA268" s="67">
        <f>Y268</f>
        <v>0.01</v>
      </c>
      <c r="AC268" s="67">
        <f>AA268</f>
        <v>0.01</v>
      </c>
      <c r="AE268" s="67">
        <f>AC268</f>
        <v>0.01</v>
      </c>
      <c r="AG268" s="67">
        <f>AE268</f>
        <v>0.01</v>
      </c>
      <c r="AI268" s="67">
        <f>AG268</f>
        <v>0.01</v>
      </c>
    </row>
    <row r="269" spans="2:35" ht="12.75">
      <c r="B269" s="84" t="s">
        <v>56</v>
      </c>
      <c r="Q269" s="35">
        <v>0.11</v>
      </c>
      <c r="S269" s="35">
        <v>0.02</v>
      </c>
      <c r="U269" s="35">
        <v>0.005</v>
      </c>
      <c r="W269" s="35">
        <v>0.005</v>
      </c>
      <c r="Y269" s="35">
        <v>0.005</v>
      </c>
      <c r="AA269" s="35">
        <v>0.005</v>
      </c>
      <c r="AC269" s="35">
        <v>0.005</v>
      </c>
      <c r="AE269" s="35">
        <v>0.005</v>
      </c>
      <c r="AG269" s="35">
        <v>0.005</v>
      </c>
      <c r="AI269" s="35">
        <v>0.005</v>
      </c>
    </row>
    <row r="270" spans="2:35" ht="4.5" customHeight="1">
      <c r="B270" s="84"/>
      <c r="Q270" s="35"/>
      <c r="S270" s="35"/>
      <c r="U270" s="35"/>
      <c r="W270" s="35"/>
      <c r="Y270" s="35"/>
      <c r="AA270" s="35"/>
      <c r="AC270" s="35"/>
      <c r="AE270" s="35"/>
      <c r="AG270" s="35"/>
      <c r="AI270" s="35"/>
    </row>
    <row r="271" spans="2:35" s="10" customFormat="1" ht="12.75">
      <c r="B271" s="10" t="str">
        <f ca="1">OFFSET(B266,op_case,0)</f>
        <v>Analyst Case</v>
      </c>
      <c r="Q271" s="90">
        <f ca="1">OFFSET(Q266,op_case,0)</f>
        <v>0.1381366459627329</v>
      </c>
      <c r="S271" s="90">
        <f ca="1">OFFSET(S266,op_case,0)</f>
        <v>0.0216110019646365</v>
      </c>
      <c r="U271" s="90">
        <f ca="1">OFFSET(U266,op_case,0)</f>
        <v>0.005341880341880323</v>
      </c>
      <c r="W271" s="90">
        <f ca="1">OFFSET(W266,op_case,0)</f>
        <v>0.01</v>
      </c>
      <c r="Y271" s="90">
        <f ca="1">OFFSET(Y266,op_case,0)</f>
        <v>0.01</v>
      </c>
      <c r="AA271" s="90">
        <f ca="1">OFFSET(AA266,op_case,0)</f>
        <v>0.01</v>
      </c>
      <c r="AC271" s="90">
        <f ca="1">OFFSET(AC266,op_case,0)</f>
        <v>0.01</v>
      </c>
      <c r="AE271" s="90">
        <f ca="1">OFFSET(AE266,op_case,0)</f>
        <v>0.01</v>
      </c>
      <c r="AG271" s="90">
        <f ca="1">OFFSET(AG266,op_case,0)</f>
        <v>0.01</v>
      </c>
      <c r="AI271" s="90">
        <f ca="1">OFFSET(AI266,op_case,0)</f>
        <v>0.01</v>
      </c>
    </row>
    <row r="273" spans="1:35" s="24" customFormat="1" ht="12.75">
      <c r="A273" s="83" t="s">
        <v>57</v>
      </c>
      <c r="Q273" s="86"/>
      <c r="S273" s="86"/>
      <c r="U273" s="86"/>
      <c r="W273" s="86"/>
      <c r="Y273" s="86"/>
      <c r="AA273" s="86"/>
      <c r="AC273" s="86"/>
      <c r="AE273" s="86"/>
      <c r="AG273" s="86"/>
      <c r="AI273" s="86"/>
    </row>
    <row r="274" spans="2:35" ht="12.75">
      <c r="B274" t="str">
        <f>B267</f>
        <v>Management Case</v>
      </c>
      <c r="Q274" s="35">
        <v>0.52</v>
      </c>
      <c r="S274" s="35">
        <v>0.515</v>
      </c>
      <c r="U274" s="35">
        <v>0.515</v>
      </c>
      <c r="W274" s="35">
        <v>0.51</v>
      </c>
      <c r="Y274" s="35">
        <v>0.51</v>
      </c>
      <c r="AA274" s="35">
        <v>0.51</v>
      </c>
      <c r="AC274" s="35">
        <v>0.51</v>
      </c>
      <c r="AE274" s="35">
        <v>0.51</v>
      </c>
      <c r="AG274" s="35">
        <v>0.51</v>
      </c>
      <c r="AI274" s="35">
        <v>0.51</v>
      </c>
    </row>
    <row r="275" spans="2:35" ht="12.75">
      <c r="B275" t="str">
        <f>B268</f>
        <v>Analyst Case</v>
      </c>
      <c r="Q275" s="85">
        <f>'Target P&amp;L'!M11</f>
        <v>0.5230299061340319</v>
      </c>
      <c r="S275" s="85">
        <f>'Target P&amp;L'!O11</f>
        <v>0.5337606837606838</v>
      </c>
      <c r="U275" s="85">
        <f>'Target P&amp;L'!Q11</f>
        <v>0.5360255047821466</v>
      </c>
      <c r="W275" s="85">
        <f>'Target P&amp;L'!S11</f>
        <v>0.5360255047821466</v>
      </c>
      <c r="Y275" s="85">
        <f>'Target P&amp;L'!U11</f>
        <v>0.5360255047821466</v>
      </c>
      <c r="AA275" s="67">
        <f>Y275</f>
        <v>0.5360255047821466</v>
      </c>
      <c r="AC275" s="67">
        <f>AA275</f>
        <v>0.5360255047821466</v>
      </c>
      <c r="AE275" s="67">
        <f>AC275</f>
        <v>0.5360255047821466</v>
      </c>
      <c r="AG275" s="67">
        <f>AE275</f>
        <v>0.5360255047821466</v>
      </c>
      <c r="AI275" s="67">
        <f>AG275</f>
        <v>0.5360255047821466</v>
      </c>
    </row>
    <row r="276" spans="2:35" ht="12.75">
      <c r="B276" t="str">
        <f>B269</f>
        <v>Downside Case</v>
      </c>
      <c r="Q276" s="35">
        <v>0.525</v>
      </c>
      <c r="S276" s="35">
        <v>0.539</v>
      </c>
      <c r="U276" s="35">
        <v>0.542</v>
      </c>
      <c r="W276" s="35">
        <v>0.545</v>
      </c>
      <c r="Y276" s="35">
        <v>0.545</v>
      </c>
      <c r="AA276" s="35">
        <v>0.545</v>
      </c>
      <c r="AC276" s="35">
        <v>0.545</v>
      </c>
      <c r="AE276" s="35">
        <v>0.545</v>
      </c>
      <c r="AG276" s="35">
        <v>0.545</v>
      </c>
      <c r="AI276" s="35">
        <v>0.545</v>
      </c>
    </row>
    <row r="277" ht="4.5" customHeight="1"/>
    <row r="278" spans="2:35" s="10" customFormat="1" ht="12.75">
      <c r="B278" s="10" t="str">
        <f ca="1">OFFSET(B273,op_case,0)</f>
        <v>Analyst Case</v>
      </c>
      <c r="Q278" s="90">
        <f ca="1">OFFSET(Q273,op_case,0)</f>
        <v>0.5230299061340319</v>
      </c>
      <c r="S278" s="90">
        <f ca="1">OFFSET(S273,op_case,0)</f>
        <v>0.5337606837606838</v>
      </c>
      <c r="U278" s="90">
        <f ca="1">OFFSET(U273,op_case,0)</f>
        <v>0.5360255047821466</v>
      </c>
      <c r="W278" s="90">
        <f ca="1">OFFSET(W273,op_case,0)</f>
        <v>0.5360255047821466</v>
      </c>
      <c r="Y278" s="90">
        <f ca="1">OFFSET(Y273,op_case,0)</f>
        <v>0.5360255047821466</v>
      </c>
      <c r="AA278" s="90">
        <f ca="1">OFFSET(AA273,op_case,0)</f>
        <v>0.5360255047821466</v>
      </c>
      <c r="AC278" s="90">
        <f ca="1">OFFSET(AC273,op_case,0)</f>
        <v>0.5360255047821466</v>
      </c>
      <c r="AE278" s="90">
        <f ca="1">OFFSET(AE273,op_case,0)</f>
        <v>0.5360255047821466</v>
      </c>
      <c r="AG278" s="90">
        <f ca="1">OFFSET(AG273,op_case,0)</f>
        <v>0.5360255047821466</v>
      </c>
      <c r="AI278" s="90">
        <f ca="1">OFFSET(AI273,op_case,0)</f>
        <v>0.5360255047821466</v>
      </c>
    </row>
    <row r="280" spans="1:35" s="24" customFormat="1" ht="12.75">
      <c r="A280" s="83" t="s">
        <v>58</v>
      </c>
      <c r="Q280" s="86"/>
      <c r="S280" s="86"/>
      <c r="U280" s="86"/>
      <c r="W280" s="86"/>
      <c r="Y280" s="86"/>
      <c r="AA280" s="86"/>
      <c r="AC280" s="86"/>
      <c r="AE280" s="86"/>
      <c r="AG280" s="86"/>
      <c r="AI280" s="86"/>
    </row>
    <row r="281" spans="2:35" ht="12.75">
      <c r="B281" t="str">
        <f>B274</f>
        <v>Management Case</v>
      </c>
      <c r="Q281" s="35">
        <v>0.19</v>
      </c>
      <c r="S281" s="35">
        <v>0.19</v>
      </c>
      <c r="U281" s="35">
        <v>0.189</v>
      </c>
      <c r="W281" s="35">
        <v>0.188</v>
      </c>
      <c r="Y281" s="35">
        <v>0.187</v>
      </c>
      <c r="AA281" s="35">
        <v>0.187</v>
      </c>
      <c r="AC281" s="35">
        <v>0.187</v>
      </c>
      <c r="AE281" s="35">
        <v>0.187</v>
      </c>
      <c r="AG281" s="35">
        <v>0.187</v>
      </c>
      <c r="AI281" s="35">
        <v>0.187</v>
      </c>
    </row>
    <row r="282" spans="2:35" ht="12.75">
      <c r="B282" t="str">
        <f>B275</f>
        <v>Analyst Case</v>
      </c>
      <c r="Q282" s="85">
        <f>'Target P&amp;L'!M16</f>
        <v>0.19275267408862692</v>
      </c>
      <c r="S282" s="85">
        <f>'Target P&amp;L'!O16</f>
        <v>0.19594017094017094</v>
      </c>
      <c r="U282" s="85">
        <f>'Target P&amp;L'!Q16</f>
        <v>0.19638682252922424</v>
      </c>
      <c r="W282" s="85">
        <f>'Target P&amp;L'!S16</f>
        <v>0.19638682252922424</v>
      </c>
      <c r="Y282" s="85">
        <f>'Target P&amp;L'!U16</f>
        <v>0.19638682252922424</v>
      </c>
      <c r="AA282" s="67">
        <f>Y282</f>
        <v>0.19638682252922424</v>
      </c>
      <c r="AC282" s="67">
        <f>AA282</f>
        <v>0.19638682252922424</v>
      </c>
      <c r="AE282" s="67">
        <f>AC282</f>
        <v>0.19638682252922424</v>
      </c>
      <c r="AG282" s="67">
        <f>AE282</f>
        <v>0.19638682252922424</v>
      </c>
      <c r="AI282" s="67">
        <f>AG282</f>
        <v>0.19638682252922424</v>
      </c>
    </row>
    <row r="283" spans="2:35" ht="12.75">
      <c r="B283" t="str">
        <f>B276</f>
        <v>Downside Case</v>
      </c>
      <c r="Q283" s="35">
        <v>0.196</v>
      </c>
      <c r="S283" s="35">
        <v>0.2</v>
      </c>
      <c r="U283" s="35">
        <v>0.202</v>
      </c>
      <c r="W283" s="35">
        <v>0.204</v>
      </c>
      <c r="Y283" s="35">
        <v>0.205</v>
      </c>
      <c r="AA283" s="35">
        <v>0.205</v>
      </c>
      <c r="AC283" s="35">
        <v>0.205</v>
      </c>
      <c r="AE283" s="35">
        <v>0.205</v>
      </c>
      <c r="AG283" s="35">
        <v>0.205</v>
      </c>
      <c r="AI283" s="35">
        <v>0.205</v>
      </c>
    </row>
    <row r="284" ht="4.5" customHeight="1"/>
    <row r="285" spans="2:35" s="10" customFormat="1" ht="12.75">
      <c r="B285" s="10" t="str">
        <f ca="1">OFFSET(B280,op_case,0)</f>
        <v>Analyst Case</v>
      </c>
      <c r="Q285" s="90">
        <f ca="1">OFFSET(Q280,op_case,0)</f>
        <v>0.19275267408862692</v>
      </c>
      <c r="S285" s="90">
        <f ca="1">OFFSET(S280,op_case,0)</f>
        <v>0.19594017094017094</v>
      </c>
      <c r="U285" s="90">
        <f ca="1">OFFSET(U280,op_case,0)</f>
        <v>0.19638682252922424</v>
      </c>
      <c r="W285" s="90">
        <f ca="1">OFFSET(W280,op_case,0)</f>
        <v>0.19638682252922424</v>
      </c>
      <c r="Y285" s="90">
        <f ca="1">OFFSET(Y280,op_case,0)</f>
        <v>0.19638682252922424</v>
      </c>
      <c r="AA285" s="90">
        <f ca="1">OFFSET(AA280,op_case,0)</f>
        <v>0.19638682252922424</v>
      </c>
      <c r="AC285" s="90">
        <f ca="1">OFFSET(AC280,op_case,0)</f>
        <v>0.19638682252922424</v>
      </c>
      <c r="AE285" s="90">
        <f ca="1">OFFSET(AE280,op_case,0)</f>
        <v>0.19638682252922424</v>
      </c>
      <c r="AG285" s="90">
        <f ca="1">OFFSET(AG280,op_case,0)</f>
        <v>0.19638682252922424</v>
      </c>
      <c r="AI285" s="90">
        <f ca="1">OFFSET(AI280,op_case,0)</f>
        <v>0.19638682252922424</v>
      </c>
    </row>
    <row r="287" ht="12.75">
      <c r="A287" s="83" t="s">
        <v>59</v>
      </c>
    </row>
    <row r="288" spans="2:35" ht="12.75">
      <c r="B288" t="str">
        <f>B281</f>
        <v>Management Case</v>
      </c>
      <c r="Q288" s="35">
        <v>0</v>
      </c>
      <c r="S288" s="35">
        <v>0</v>
      </c>
      <c r="U288" s="35">
        <v>0</v>
      </c>
      <c r="W288" s="35">
        <v>0</v>
      </c>
      <c r="Y288" s="35">
        <v>0</v>
      </c>
      <c r="AA288" s="35">
        <v>0</v>
      </c>
      <c r="AC288" s="35">
        <v>0</v>
      </c>
      <c r="AE288" s="35">
        <v>0</v>
      </c>
      <c r="AG288" s="35">
        <v>0</v>
      </c>
      <c r="AI288" s="35">
        <v>0</v>
      </c>
    </row>
    <row r="289" spans="2:35" ht="12.75">
      <c r="B289" t="str">
        <f>B282</f>
        <v>Analyst Case</v>
      </c>
      <c r="Q289" s="35">
        <v>0</v>
      </c>
      <c r="S289" s="35">
        <v>0</v>
      </c>
      <c r="U289" s="35">
        <v>0</v>
      </c>
      <c r="W289" s="35">
        <v>0</v>
      </c>
      <c r="Y289" s="35">
        <v>0</v>
      </c>
      <c r="AA289" s="35">
        <v>0</v>
      </c>
      <c r="AC289" s="35">
        <v>0</v>
      </c>
      <c r="AE289" s="35">
        <v>0</v>
      </c>
      <c r="AG289" s="35">
        <v>0</v>
      </c>
      <c r="AI289" s="35">
        <v>0</v>
      </c>
    </row>
    <row r="290" spans="2:35" ht="12.75">
      <c r="B290" t="str">
        <f>B283</f>
        <v>Downside Case</v>
      </c>
      <c r="Q290" s="35">
        <v>0</v>
      </c>
      <c r="S290" s="35">
        <v>0</v>
      </c>
      <c r="U290" s="35">
        <v>0</v>
      </c>
      <c r="W290" s="35">
        <v>0</v>
      </c>
      <c r="Y290" s="35">
        <v>0</v>
      </c>
      <c r="AA290" s="35">
        <v>0</v>
      </c>
      <c r="AC290" s="35">
        <v>0</v>
      </c>
      <c r="AE290" s="35">
        <v>0</v>
      </c>
      <c r="AG290" s="35">
        <v>0</v>
      </c>
      <c r="AI290" s="35">
        <v>0</v>
      </c>
    </row>
    <row r="291" ht="4.5" customHeight="1"/>
    <row r="292" spans="2:38" s="10" customFormat="1" ht="12.75">
      <c r="B292" s="10" t="str">
        <f ca="1">OFFSET(B287,op_case,0)</f>
        <v>Analyst Case</v>
      </c>
      <c r="Q292" s="90">
        <f ca="1">OFFSET(Q287,op_case,0)</f>
        <v>0</v>
      </c>
      <c r="S292" s="90">
        <f ca="1">OFFSET(S287,op_case,0)</f>
        <v>0</v>
      </c>
      <c r="U292" s="90">
        <f ca="1">OFFSET(U287,op_case,0)</f>
        <v>0</v>
      </c>
      <c r="W292" s="90">
        <f ca="1">OFFSET(W287,op_case,0)</f>
        <v>0</v>
      </c>
      <c r="Y292" s="90">
        <f ca="1">OFFSET(Y287,op_case,0)</f>
        <v>0</v>
      </c>
      <c r="AA292" s="90">
        <f ca="1">OFFSET(AA287,op_case,0)</f>
        <v>0</v>
      </c>
      <c r="AC292" s="90">
        <f ca="1">OFFSET(AC287,op_case,0)</f>
        <v>0</v>
      </c>
      <c r="AE292" s="90">
        <f ca="1">OFFSET(AE287,op_case,0)</f>
        <v>0</v>
      </c>
      <c r="AG292" s="90">
        <f ca="1">OFFSET(AG287,op_case,0)</f>
        <v>0</v>
      </c>
      <c r="AI292" s="90">
        <f ca="1">OFFSET(AI287,op_case,0)</f>
        <v>0</v>
      </c>
      <c r="AJ292"/>
      <c r="AK292"/>
      <c r="AL292"/>
    </row>
    <row r="294" spans="1:35" ht="12.75">
      <c r="A294" s="4" t="s">
        <v>192</v>
      </c>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row>
    <row r="295" ht="12.75">
      <c r="A295" s="3" t="str">
        <f>$A$2</f>
        <v>($ in millions, except per share data)</v>
      </c>
    </row>
    <row r="296" ht="12.75">
      <c r="S296" s="22" t="s">
        <v>193</v>
      </c>
    </row>
    <row r="297" spans="7:19" ht="13.5" customHeight="1" thickBot="1">
      <c r="G297" s="100" t="s">
        <v>194</v>
      </c>
      <c r="H297" s="100"/>
      <c r="I297" s="100"/>
      <c r="J297" s="100"/>
      <c r="K297" s="100"/>
      <c r="L297" s="100"/>
      <c r="M297" s="100"/>
      <c r="N297" s="100"/>
      <c r="O297" s="100"/>
      <c r="P297" s="100"/>
      <c r="Q297" s="100"/>
      <c r="S297" s="82" t="s">
        <v>195</v>
      </c>
    </row>
    <row r="298" spans="1:19" ht="12.75">
      <c r="A298" s="24" t="s">
        <v>195</v>
      </c>
      <c r="G298" s="138">
        <v>1</v>
      </c>
      <c r="H298" s="110"/>
      <c r="I298" s="139">
        <f>G298+1</f>
        <v>2</v>
      </c>
      <c r="J298" s="110"/>
      <c r="K298" s="139">
        <f>I298+1</f>
        <v>3</v>
      </c>
      <c r="L298" s="139"/>
      <c r="M298" s="139">
        <f>K298+1</f>
        <v>4</v>
      </c>
      <c r="N298" s="110"/>
      <c r="O298" s="139">
        <f>M298+1</f>
        <v>5</v>
      </c>
      <c r="P298" s="110"/>
      <c r="Q298" s="139">
        <f>O298+1</f>
        <v>6</v>
      </c>
      <c r="S298" s="140">
        <f>fin_case</f>
        <v>4</v>
      </c>
    </row>
    <row r="299" spans="1:38" s="141" customFormat="1" ht="12.75" customHeight="1">
      <c r="A299" s="5"/>
      <c r="B299" s="5"/>
      <c r="C299" s="5"/>
      <c r="D299" s="5"/>
      <c r="E299" s="5"/>
      <c r="G299" s="5"/>
      <c r="H299" s="5"/>
      <c r="I299" s="5"/>
      <c r="J299" s="5"/>
      <c r="K299" s="5"/>
      <c r="L299" s="5"/>
      <c r="M299" s="5"/>
      <c r="N299" s="5"/>
      <c r="O299" s="5"/>
      <c r="P299" s="5"/>
      <c r="Q299" s="5"/>
      <c r="R299" s="5"/>
      <c r="S299" s="5"/>
      <c r="T299" s="5"/>
      <c r="X299" s="5"/>
      <c r="Y299" s="5"/>
      <c r="Z299" s="5"/>
      <c r="AA299" s="5"/>
      <c r="AB299" s="5"/>
      <c r="AC299" s="5"/>
      <c r="AD299" s="5"/>
      <c r="AE299" s="5"/>
      <c r="AF299" s="5"/>
      <c r="AG299" s="5"/>
      <c r="AH299" s="5"/>
      <c r="AI299" s="5"/>
      <c r="AJ299" s="5"/>
      <c r="AK299" s="5"/>
      <c r="AL299" s="5"/>
    </row>
    <row r="300" spans="1:38" ht="12.75">
      <c r="A300" s="142" t="s">
        <v>196</v>
      </c>
      <c r="C300" s="141"/>
      <c r="D300" s="141"/>
      <c r="E300" s="141"/>
      <c r="G300" s="143" t="s">
        <v>197</v>
      </c>
      <c r="H300" s="143"/>
      <c r="I300" s="143" t="s">
        <v>198</v>
      </c>
      <c r="J300" s="143"/>
      <c r="K300" s="143" t="s">
        <v>199</v>
      </c>
      <c r="L300" s="143"/>
      <c r="M300" s="143" t="s">
        <v>200</v>
      </c>
      <c r="N300" s="143"/>
      <c r="O300" s="143" t="s">
        <v>201</v>
      </c>
      <c r="P300" s="143"/>
      <c r="Q300" s="143" t="s">
        <v>202</v>
      </c>
      <c r="R300" s="143"/>
      <c r="S300" s="143" t="str">
        <f ca="1">OFFSET(E300,0,$S$298*2)</f>
        <v>LBO A</v>
      </c>
      <c r="T300" s="141"/>
      <c r="X300" s="141"/>
      <c r="Y300" s="141"/>
      <c r="Z300" s="141"/>
      <c r="AA300" s="141"/>
      <c r="AB300" s="141"/>
      <c r="AC300" s="141"/>
      <c r="AD300" s="141"/>
      <c r="AE300" s="141"/>
      <c r="AF300" s="141"/>
      <c r="AG300" s="141"/>
      <c r="AH300" s="141"/>
      <c r="AI300" s="141"/>
      <c r="AJ300" s="141"/>
      <c r="AK300" s="141"/>
      <c r="AL300" s="141"/>
    </row>
    <row r="302" ht="12.75" customHeight="1">
      <c r="A302" s="83" t="s">
        <v>204</v>
      </c>
    </row>
    <row r="303" spans="2:19" ht="12.75" customHeight="1">
      <c r="B303" t="s">
        <v>206</v>
      </c>
      <c r="G303" s="144">
        <v>0</v>
      </c>
      <c r="H303" s="76"/>
      <c r="I303" s="77">
        <v>0</v>
      </c>
      <c r="J303" s="76"/>
      <c r="K303" s="77">
        <v>0</v>
      </c>
      <c r="L303" s="76"/>
      <c r="M303" s="74">
        <f>I87-min_cash</f>
        <v>116.606</v>
      </c>
      <c r="N303" s="76"/>
      <c r="O303" s="74">
        <f>M303</f>
        <v>116.606</v>
      </c>
      <c r="P303" s="76"/>
      <c r="Q303" s="74">
        <f>O303</f>
        <v>116.606</v>
      </c>
      <c r="S303" s="136">
        <f aca="true" ca="1" t="shared" si="30" ref="S303:S318">OFFSET(E303,0,$S$298*2)</f>
        <v>116.606</v>
      </c>
    </row>
    <row r="304" spans="2:19" ht="12.75" customHeight="1">
      <c r="B304" t="s">
        <v>207</v>
      </c>
      <c r="G304" s="43">
        <v>0</v>
      </c>
      <c r="I304" s="146">
        <f>I325</f>
        <v>230</v>
      </c>
      <c r="J304" s="37"/>
      <c r="K304" s="146">
        <f>K325</f>
        <v>230</v>
      </c>
      <c r="L304" s="37"/>
      <c r="M304" s="146">
        <f>M325</f>
        <v>230</v>
      </c>
      <c r="N304" s="37"/>
      <c r="O304" s="146">
        <f>O325</f>
        <v>230</v>
      </c>
      <c r="P304" s="37"/>
      <c r="Q304" s="146">
        <f>Q325</f>
        <v>230</v>
      </c>
      <c r="S304" s="146">
        <f ca="1" t="shared" si="30"/>
        <v>230</v>
      </c>
    </row>
    <row r="305" spans="2:19" ht="12.75" customHeight="1">
      <c r="B305" t="s">
        <v>223</v>
      </c>
      <c r="G305" s="43">
        <v>0</v>
      </c>
      <c r="H305" s="37"/>
      <c r="I305" s="146">
        <f>I328</f>
        <v>0</v>
      </c>
      <c r="J305" s="37"/>
      <c r="K305" s="146">
        <f>K328</f>
        <v>0</v>
      </c>
      <c r="L305" s="37"/>
      <c r="M305" s="146">
        <f>M328</f>
        <v>0</v>
      </c>
      <c r="N305" s="37"/>
      <c r="O305" s="146">
        <f>O328</f>
        <v>0</v>
      </c>
      <c r="P305" s="37"/>
      <c r="Q305" s="146">
        <f>Q328</f>
        <v>0</v>
      </c>
      <c r="S305" s="146">
        <f ca="1" t="shared" si="30"/>
        <v>0</v>
      </c>
    </row>
    <row r="306" spans="2:19" ht="12.75">
      <c r="B306" t="s">
        <v>182</v>
      </c>
      <c r="G306" s="43">
        <v>0</v>
      </c>
      <c r="H306" s="37"/>
      <c r="I306" s="43">
        <v>0</v>
      </c>
      <c r="J306" s="37"/>
      <c r="K306" s="43">
        <v>0</v>
      </c>
      <c r="L306" s="37"/>
      <c r="M306" s="43">
        <v>0</v>
      </c>
      <c r="N306" s="37"/>
      <c r="O306" s="43">
        <v>0</v>
      </c>
      <c r="P306" s="37"/>
      <c r="Q306" s="43">
        <v>0</v>
      </c>
      <c r="S306" s="146">
        <f ca="1" t="shared" si="30"/>
        <v>0</v>
      </c>
    </row>
    <row r="307" spans="2:19" ht="12.75">
      <c r="B307" s="84" t="s">
        <v>183</v>
      </c>
      <c r="C307" s="84"/>
      <c r="G307" s="43">
        <v>0</v>
      </c>
      <c r="H307" s="37"/>
      <c r="I307" s="39">
        <f>I333-SUM(I308:I318,I303:I306)</f>
        <v>-29.209183673469397</v>
      </c>
      <c r="J307" s="37"/>
      <c r="K307" s="39">
        <f>K333-SUM(K308:K318,K303:K306)</f>
        <v>-73.9795918367347</v>
      </c>
      <c r="L307" s="37"/>
      <c r="M307" s="38">
        <v>150</v>
      </c>
      <c r="N307" s="37"/>
      <c r="O307" s="38">
        <v>0</v>
      </c>
      <c r="P307" s="37"/>
      <c r="Q307" s="38">
        <v>50</v>
      </c>
      <c r="S307" s="146">
        <f ca="1" t="shared" si="30"/>
        <v>150</v>
      </c>
    </row>
    <row r="308" spans="2:19" ht="12.75">
      <c r="B308" s="84" t="s">
        <v>184</v>
      </c>
      <c r="C308" s="84"/>
      <c r="G308" s="43">
        <v>0</v>
      </c>
      <c r="H308" s="37"/>
      <c r="I308" s="38">
        <v>0</v>
      </c>
      <c r="J308" s="37"/>
      <c r="K308" s="38">
        <v>0</v>
      </c>
      <c r="L308" s="37"/>
      <c r="M308" s="38">
        <v>0</v>
      </c>
      <c r="N308" s="37"/>
      <c r="O308" s="38">
        <v>75</v>
      </c>
      <c r="P308" s="37"/>
      <c r="Q308" s="38">
        <v>0</v>
      </c>
      <c r="S308" s="146">
        <f ca="1" t="shared" si="30"/>
        <v>0</v>
      </c>
    </row>
    <row r="309" spans="2:19" ht="12.75">
      <c r="B309" s="84" t="s">
        <v>185</v>
      </c>
      <c r="C309" s="84"/>
      <c r="G309" s="43">
        <v>0</v>
      </c>
      <c r="H309" s="37"/>
      <c r="I309" s="38">
        <v>50</v>
      </c>
      <c r="J309" s="37"/>
      <c r="K309" s="38">
        <v>100</v>
      </c>
      <c r="L309" s="37"/>
      <c r="M309" s="38">
        <v>75</v>
      </c>
      <c r="N309" s="37"/>
      <c r="O309" s="38">
        <v>100</v>
      </c>
      <c r="P309" s="37"/>
      <c r="Q309" s="38">
        <v>100</v>
      </c>
      <c r="S309" s="146">
        <f ca="1" t="shared" si="30"/>
        <v>75</v>
      </c>
    </row>
    <row r="310" spans="2:19" ht="12.75">
      <c r="B310" s="84" t="s">
        <v>186</v>
      </c>
      <c r="C310" s="84"/>
      <c r="G310" s="43">
        <v>0</v>
      </c>
      <c r="H310" s="37"/>
      <c r="I310" s="43">
        <v>0</v>
      </c>
      <c r="J310" s="37"/>
      <c r="K310" s="43">
        <v>0</v>
      </c>
      <c r="L310" s="37"/>
      <c r="M310" s="43">
        <v>0</v>
      </c>
      <c r="N310" s="37"/>
      <c r="O310" s="43">
        <v>0</v>
      </c>
      <c r="P310" s="37"/>
      <c r="Q310" s="43">
        <v>50</v>
      </c>
      <c r="S310" s="146">
        <f ca="1" t="shared" si="30"/>
        <v>0</v>
      </c>
    </row>
    <row r="311" spans="2:19" ht="12.75">
      <c r="B311" s="84" t="s">
        <v>187</v>
      </c>
      <c r="C311" s="84"/>
      <c r="G311" s="43">
        <v>0</v>
      </c>
      <c r="H311" s="37"/>
      <c r="I311" s="43">
        <v>0</v>
      </c>
      <c r="J311" s="37"/>
      <c r="K311" s="43">
        <v>0</v>
      </c>
      <c r="L311" s="37"/>
      <c r="M311" s="43">
        <v>0</v>
      </c>
      <c r="N311" s="37"/>
      <c r="O311" s="43">
        <v>0</v>
      </c>
      <c r="P311" s="37"/>
      <c r="Q311" s="43">
        <v>0</v>
      </c>
      <c r="S311" s="146">
        <f ca="1" t="shared" si="30"/>
        <v>0</v>
      </c>
    </row>
    <row r="312" spans="2:19" ht="12.75">
      <c r="B312" s="84" t="s">
        <v>188</v>
      </c>
      <c r="C312" s="84"/>
      <c r="G312" s="43">
        <v>0</v>
      </c>
      <c r="H312" s="37"/>
      <c r="I312" s="43">
        <v>0</v>
      </c>
      <c r="J312" s="37"/>
      <c r="K312" s="43">
        <v>0</v>
      </c>
      <c r="L312" s="37"/>
      <c r="M312" s="43">
        <v>0</v>
      </c>
      <c r="N312" s="37"/>
      <c r="O312" s="43">
        <v>0</v>
      </c>
      <c r="P312" s="37"/>
      <c r="Q312" s="43">
        <v>0</v>
      </c>
      <c r="S312" s="146">
        <f ca="1" t="shared" si="30"/>
        <v>0</v>
      </c>
    </row>
    <row r="313" spans="2:19" ht="12.75">
      <c r="B313" s="84" t="s">
        <v>189</v>
      </c>
      <c r="C313" s="84"/>
      <c r="G313" s="43">
        <v>0</v>
      </c>
      <c r="H313" s="37"/>
      <c r="I313" s="43">
        <v>0</v>
      </c>
      <c r="J313" s="37"/>
      <c r="K313" s="43">
        <v>0</v>
      </c>
      <c r="L313" s="37"/>
      <c r="M313" s="43">
        <v>10</v>
      </c>
      <c r="N313" s="37"/>
      <c r="O313" s="43">
        <v>75</v>
      </c>
      <c r="P313" s="37"/>
      <c r="Q313" s="43">
        <v>0</v>
      </c>
      <c r="S313" s="146">
        <f ca="1" t="shared" si="30"/>
        <v>10</v>
      </c>
    </row>
    <row r="314" spans="2:19" ht="12.75">
      <c r="B314" s="84" t="s">
        <v>190</v>
      </c>
      <c r="C314" s="84"/>
      <c r="G314" s="43">
        <v>0</v>
      </c>
      <c r="H314" s="37"/>
      <c r="I314" s="43">
        <v>0</v>
      </c>
      <c r="J314" s="37"/>
      <c r="K314" s="43">
        <v>0</v>
      </c>
      <c r="L314" s="37"/>
      <c r="M314" s="43">
        <v>0</v>
      </c>
      <c r="N314" s="37"/>
      <c r="O314" s="43">
        <v>0</v>
      </c>
      <c r="P314" s="37"/>
      <c r="Q314" s="43">
        <v>0</v>
      </c>
      <c r="S314" s="146">
        <f ca="1" t="shared" si="30"/>
        <v>0</v>
      </c>
    </row>
    <row r="315" spans="2:19" ht="12.75">
      <c r="B315" t="s">
        <v>208</v>
      </c>
      <c r="G315" s="43">
        <v>0</v>
      </c>
      <c r="I315" s="43">
        <v>0</v>
      </c>
      <c r="K315" s="43">
        <v>0</v>
      </c>
      <c r="M315" s="147">
        <f>M333-SUM(M316:M318,M303:M314)</f>
        <v>233.6364471574999</v>
      </c>
      <c r="O315" s="147">
        <f>O333-SUM(O316:O318,O303:O314)</f>
        <v>217.5114471574999</v>
      </c>
      <c r="Q315" s="147">
        <f>Q333-SUM(Q316:Q318,Q303:Q314)</f>
        <v>248.6989471574999</v>
      </c>
      <c r="S315" s="146">
        <f ca="1" t="shared" si="30"/>
        <v>233.6364471574999</v>
      </c>
    </row>
    <row r="316" spans="2:19" ht="12.75">
      <c r="B316" t="s">
        <v>209</v>
      </c>
      <c r="G316" s="43">
        <v>0</v>
      </c>
      <c r="I316" s="43">
        <v>0</v>
      </c>
      <c r="K316" s="43">
        <v>0</v>
      </c>
      <c r="M316" s="43">
        <v>0</v>
      </c>
      <c r="O316" s="43">
        <v>0</v>
      </c>
      <c r="Q316" s="43">
        <v>20</v>
      </c>
      <c r="S316" s="146">
        <f ca="1" t="shared" si="30"/>
        <v>0</v>
      </c>
    </row>
    <row r="317" spans="2:19" ht="12.75">
      <c r="B317" t="s">
        <v>210</v>
      </c>
      <c r="G317" s="43">
        <v>0</v>
      </c>
      <c r="I317" s="43">
        <v>0</v>
      </c>
      <c r="K317" s="43">
        <v>0</v>
      </c>
      <c r="M317" s="43">
        <v>0</v>
      </c>
      <c r="O317" s="43">
        <v>0</v>
      </c>
      <c r="Q317" s="43">
        <v>0</v>
      </c>
      <c r="S317" s="146">
        <f ca="1" t="shared" si="30"/>
        <v>0</v>
      </c>
    </row>
    <row r="318" spans="2:19" ht="13.5" customHeight="1" thickBot="1">
      <c r="B318" t="s">
        <v>66</v>
      </c>
      <c r="G318" s="43">
        <v>0</v>
      </c>
      <c r="I318" s="43">
        <v>0</v>
      </c>
      <c r="K318" s="43">
        <v>0</v>
      </c>
      <c r="M318" s="43">
        <v>0</v>
      </c>
      <c r="O318" s="43">
        <v>0</v>
      </c>
      <c r="Q318" s="43">
        <v>0</v>
      </c>
      <c r="S318" s="146">
        <f ca="1" t="shared" si="30"/>
        <v>0</v>
      </c>
    </row>
    <row r="319" spans="3:19" ht="13.5" customHeight="1" thickBot="1">
      <c r="C319" s="10" t="s">
        <v>205</v>
      </c>
      <c r="G319" s="106">
        <f>SUM(G303:G318)</f>
        <v>0</v>
      </c>
      <c r="I319" s="106">
        <f>SUM(I303:I318)</f>
        <v>250.7908163265306</v>
      </c>
      <c r="K319" s="106">
        <f>SUM(K303:K318)</f>
        <v>256.0204081632653</v>
      </c>
      <c r="M319" s="106">
        <f>SUM(M303:M318)</f>
        <v>815.2424471574999</v>
      </c>
      <c r="O319" s="106">
        <f>SUM(O303:O318)</f>
        <v>814.1174471574999</v>
      </c>
      <c r="Q319" s="106">
        <f>SUM(Q303:Q318)</f>
        <v>815.3049471574999</v>
      </c>
      <c r="S319" s="148">
        <f>SUM(S303:S318)</f>
        <v>815.2424471574999</v>
      </c>
    </row>
    <row r="320" ht="13.5" thickTop="1"/>
    <row r="321" spans="1:38" s="76" customFormat="1" ht="12.75" customHeight="1">
      <c r="A321" s="83" t="s">
        <v>211</v>
      </c>
      <c r="B321" s="5"/>
      <c r="C321" s="5"/>
      <c r="D321" s="5"/>
      <c r="E321" s="5"/>
      <c r="F321" s="5"/>
      <c r="G321" s="5"/>
      <c r="H321" s="5"/>
      <c r="I321" s="5"/>
      <c r="J321" s="5"/>
      <c r="K321" s="5"/>
      <c r="L321" s="5"/>
      <c r="M321" s="5"/>
      <c r="N321" s="5"/>
      <c r="O321" s="5"/>
      <c r="P321" s="5"/>
      <c r="Q321" s="5"/>
      <c r="R321" s="5"/>
      <c r="S321" s="5"/>
      <c r="T321" s="5"/>
      <c r="X321" s="5"/>
      <c r="Y321" s="5"/>
      <c r="Z321" s="5"/>
      <c r="AA321" s="5"/>
      <c r="AB321" s="5"/>
      <c r="AC321" s="5"/>
      <c r="AD321" s="5"/>
      <c r="AE321" s="5"/>
      <c r="AF321" s="5"/>
      <c r="AG321" s="5"/>
      <c r="AH321" s="5"/>
      <c r="AI321" s="5"/>
      <c r="AJ321" s="5"/>
      <c r="AK321" s="5"/>
      <c r="AL321" s="5"/>
    </row>
    <row r="322" spans="1:38" ht="12.75" customHeight="1">
      <c r="A322" s="76"/>
      <c r="B322" s="76" t="s">
        <v>217</v>
      </c>
      <c r="C322" s="76"/>
      <c r="D322" s="76"/>
      <c r="F322" s="76"/>
      <c r="G322" s="144">
        <v>0</v>
      </c>
      <c r="H322" s="76"/>
      <c r="I322" s="77">
        <v>0</v>
      </c>
      <c r="J322" s="76"/>
      <c r="K322" s="77">
        <v>0</v>
      </c>
      <c r="L322" s="76"/>
      <c r="M322" s="74">
        <f>Y11</f>
        <v>562.9861275</v>
      </c>
      <c r="N322" s="76"/>
      <c r="O322" s="74">
        <f>M322</f>
        <v>562.9861275</v>
      </c>
      <c r="P322" s="76"/>
      <c r="Q322" s="74">
        <f>O322</f>
        <v>562.9861275</v>
      </c>
      <c r="R322" s="76"/>
      <c r="S322" s="136">
        <f aca="true" ca="1" t="shared" si="31" ref="S322:S332">OFFSET(E322,0,$S$298*2)</f>
        <v>562.9861275</v>
      </c>
      <c r="T322" s="76"/>
      <c r="X322" s="76"/>
      <c r="Y322" s="76"/>
      <c r="Z322" s="76"/>
      <c r="AA322" s="76"/>
      <c r="AB322" s="76"/>
      <c r="AC322" s="76"/>
      <c r="AD322" s="76"/>
      <c r="AE322" s="76"/>
      <c r="AF322" s="76"/>
      <c r="AG322" s="76"/>
      <c r="AH322" s="76"/>
      <c r="AI322" s="76"/>
      <c r="AJ322" s="76"/>
      <c r="AK322" s="76"/>
      <c r="AL322" s="76"/>
    </row>
    <row r="323" spans="2:29" ht="12.75" customHeight="1">
      <c r="B323" s="76" t="s">
        <v>210</v>
      </c>
      <c r="G323" s="43">
        <v>0</v>
      </c>
      <c r="I323" s="43">
        <v>0</v>
      </c>
      <c r="J323" s="37"/>
      <c r="K323" s="43">
        <v>0</v>
      </c>
      <c r="L323" s="37"/>
      <c r="M323" s="43">
        <v>0</v>
      </c>
      <c r="N323" s="37"/>
      <c r="O323" s="43">
        <v>0</v>
      </c>
      <c r="P323" s="37"/>
      <c r="Q323" s="43">
        <v>0</v>
      </c>
      <c r="S323" s="146">
        <f ca="1" t="shared" si="31"/>
        <v>0</v>
      </c>
      <c r="Y323" s="60"/>
      <c r="AC323" s="60"/>
    </row>
    <row r="324" spans="2:29" ht="12.75">
      <c r="B324" s="76" t="s">
        <v>218</v>
      </c>
      <c r="G324" s="43">
        <v>0</v>
      </c>
      <c r="I324" s="38">
        <v>10</v>
      </c>
      <c r="J324" s="37"/>
      <c r="K324" s="38">
        <v>15</v>
      </c>
      <c r="L324" s="37"/>
      <c r="M324" s="38">
        <v>0</v>
      </c>
      <c r="N324" s="37"/>
      <c r="O324" s="38">
        <v>0</v>
      </c>
      <c r="P324" s="37"/>
      <c r="Q324" s="38">
        <v>0</v>
      </c>
      <c r="S324" s="146">
        <f ca="1" t="shared" si="31"/>
        <v>0</v>
      </c>
      <c r="Y324" s="60"/>
      <c r="AC324" s="60"/>
    </row>
    <row r="325" spans="2:19" ht="12.75">
      <c r="B325" s="76" t="s">
        <v>219</v>
      </c>
      <c r="G325" s="43">
        <v>0</v>
      </c>
      <c r="I325" s="39">
        <f>(I107+I119)*(1-refi)</f>
        <v>230</v>
      </c>
      <c r="J325" s="37"/>
      <c r="K325" s="39">
        <f>I325</f>
        <v>230</v>
      </c>
      <c r="L325" s="37"/>
      <c r="M325" s="39">
        <f>K325</f>
        <v>230</v>
      </c>
      <c r="N325" s="37"/>
      <c r="O325" s="39">
        <f>M325</f>
        <v>230</v>
      </c>
      <c r="P325" s="37"/>
      <c r="Q325" s="39">
        <f>O325</f>
        <v>230</v>
      </c>
      <c r="S325" s="146">
        <f ca="1" t="shared" si="31"/>
        <v>230</v>
      </c>
    </row>
    <row r="326" spans="2:19" ht="12.75">
      <c r="B326" s="76" t="s">
        <v>212</v>
      </c>
      <c r="G326" s="43">
        <v>0</v>
      </c>
      <c r="I326" s="39">
        <f>(I107+I119)*refi</f>
        <v>0</v>
      </c>
      <c r="J326" s="37"/>
      <c r="K326" s="39">
        <f>I326</f>
        <v>0</v>
      </c>
      <c r="L326" s="37"/>
      <c r="M326" s="39">
        <f>K326</f>
        <v>0</v>
      </c>
      <c r="N326" s="37"/>
      <c r="O326" s="39">
        <f>M326</f>
        <v>0</v>
      </c>
      <c r="P326" s="37"/>
      <c r="Q326" s="39">
        <f>O326</f>
        <v>0</v>
      </c>
      <c r="S326" s="146">
        <f ca="1" t="shared" si="31"/>
        <v>0</v>
      </c>
    </row>
    <row r="327" spans="2:19" ht="12.75">
      <c r="B327" s="76" t="s">
        <v>213</v>
      </c>
      <c r="G327" s="43">
        <v>0</v>
      </c>
      <c r="I327" s="43">
        <v>0</v>
      </c>
      <c r="J327" s="37"/>
      <c r="K327" s="43">
        <v>0</v>
      </c>
      <c r="L327" s="37"/>
      <c r="M327" s="43">
        <v>0</v>
      </c>
      <c r="N327" s="37"/>
      <c r="O327" s="43">
        <v>0</v>
      </c>
      <c r="P327" s="37"/>
      <c r="Q327" s="43">
        <v>0</v>
      </c>
      <c r="S327" s="146">
        <f ca="1" t="shared" si="31"/>
        <v>0</v>
      </c>
    </row>
    <row r="328" spans="2:19" ht="12.75">
      <c r="B328" s="76" t="s">
        <v>221</v>
      </c>
      <c r="G328" s="43">
        <v>0</v>
      </c>
      <c r="I328" s="43">
        <v>0</v>
      </c>
      <c r="J328" s="37"/>
      <c r="K328" s="37">
        <f>I328</f>
        <v>0</v>
      </c>
      <c r="L328" s="37"/>
      <c r="M328" s="39">
        <f>L306</f>
        <v>0</v>
      </c>
      <c r="N328" s="37"/>
      <c r="O328" s="39">
        <f>N306</f>
        <v>0</v>
      </c>
      <c r="P328" s="37"/>
      <c r="Q328" s="39">
        <f>P306</f>
        <v>0</v>
      </c>
      <c r="S328" s="146">
        <f ca="1" t="shared" si="31"/>
        <v>0</v>
      </c>
    </row>
    <row r="329" spans="2:19" ht="12.75">
      <c r="B329" s="76" t="s">
        <v>222</v>
      </c>
      <c r="G329" s="43">
        <v>0</v>
      </c>
      <c r="I329" s="39">
        <f>I130</f>
        <v>0</v>
      </c>
      <c r="J329" s="37"/>
      <c r="K329" s="39">
        <f>I329</f>
        <v>0</v>
      </c>
      <c r="L329" s="37"/>
      <c r="M329" s="39">
        <f>K329</f>
        <v>0</v>
      </c>
      <c r="N329" s="37"/>
      <c r="O329" s="39">
        <f>M329</f>
        <v>0</v>
      </c>
      <c r="P329" s="37"/>
      <c r="Q329" s="39">
        <f>O329</f>
        <v>0</v>
      </c>
      <c r="S329" s="146">
        <f ca="1" t="shared" si="31"/>
        <v>0</v>
      </c>
    </row>
    <row r="330" spans="2:19" ht="12.75">
      <c r="B330" s="76" t="s">
        <v>214</v>
      </c>
      <c r="G330" s="43">
        <v>0</v>
      </c>
      <c r="I330" s="39">
        <f>I322*$G344+I322*$G343+SUM($S$356:$S$360)</f>
        <v>8.5</v>
      </c>
      <c r="J330" s="37"/>
      <c r="K330" s="39">
        <f>K322*$G344+K322*$G343+SUM($S$356:$S$360)</f>
        <v>8.5</v>
      </c>
      <c r="L330" s="37"/>
      <c r="M330" s="39">
        <f>M322*$G344+M322*$G343+SUM($S$356:$S$360)</f>
        <v>15.818819657499999</v>
      </c>
      <c r="N330" s="37"/>
      <c r="O330" s="39">
        <f>O322*$G344+O322*$G343+SUM($S$356:$S$360)</f>
        <v>15.818819657499999</v>
      </c>
      <c r="P330" s="37"/>
      <c r="Q330" s="39">
        <f>Q322*$G344+Q322*$G343+SUM($S$356:$S$360)</f>
        <v>15.818819657499999</v>
      </c>
      <c r="S330" s="146">
        <f ca="1" t="shared" si="31"/>
        <v>15.818819657499999</v>
      </c>
    </row>
    <row r="331" spans="2:29" ht="12.75">
      <c r="B331" t="s">
        <v>88</v>
      </c>
      <c r="G331" s="38">
        <v>0</v>
      </c>
      <c r="I331" s="39">
        <f>$S$346+SUMPRODUCT(I307:I312,$G347:$G352)</f>
        <v>2.2908163265306123</v>
      </c>
      <c r="J331" s="37"/>
      <c r="K331" s="39">
        <f>$S$346+SUMPRODUCT(K307:K312,$G347:$G352)</f>
        <v>2.520408163265306</v>
      </c>
      <c r="L331" s="37"/>
      <c r="M331" s="39">
        <f>$S$346+SUMPRODUCT(M307:M312,$G347:$G352)</f>
        <v>6.4375</v>
      </c>
      <c r="N331" s="37"/>
      <c r="O331" s="39">
        <f>$S$346+SUMPRODUCT(O307:O312,$G347:$G352)</f>
        <v>5.3125</v>
      </c>
      <c r="P331" s="37"/>
      <c r="Q331" s="39">
        <f>$S$346+SUMPRODUCT(Q307:Q312,$G347:$G352)</f>
        <v>6.5</v>
      </c>
      <c r="S331" s="146">
        <f ca="1" t="shared" si="31"/>
        <v>6.4375</v>
      </c>
      <c r="Y331" s="149"/>
      <c r="AC331" s="149"/>
    </row>
    <row r="332" spans="2:19" ht="13.5" customHeight="1" thickBot="1">
      <c r="B332" s="76" t="s">
        <v>66</v>
      </c>
      <c r="G332" s="43">
        <v>0</v>
      </c>
      <c r="I332" s="37">
        <f>G332</f>
        <v>0</v>
      </c>
      <c r="J332" s="37"/>
      <c r="K332" s="37">
        <f>I332</f>
        <v>0</v>
      </c>
      <c r="L332" s="37"/>
      <c r="M332" s="37">
        <f>K332</f>
        <v>0</v>
      </c>
      <c r="N332" s="37"/>
      <c r="O332" s="37">
        <f>M332</f>
        <v>0</v>
      </c>
      <c r="P332" s="37"/>
      <c r="Q332" s="37">
        <f>O332</f>
        <v>0</v>
      </c>
      <c r="S332" s="146">
        <f ca="1" t="shared" si="31"/>
        <v>0</v>
      </c>
    </row>
    <row r="333" spans="3:19" ht="13.5" customHeight="1" thickBot="1">
      <c r="C333" s="10" t="s">
        <v>215</v>
      </c>
      <c r="G333" s="106">
        <f>SUM(G322:G332)</f>
        <v>0</v>
      </c>
      <c r="I333" s="106">
        <f>SUM(I322:I332)</f>
        <v>250.7908163265306</v>
      </c>
      <c r="K333" s="106">
        <f>SUM(K322:K332)</f>
        <v>256.0204081632653</v>
      </c>
      <c r="M333" s="106">
        <f>SUM(M322:M332)</f>
        <v>815.2424471574999</v>
      </c>
      <c r="O333" s="106">
        <f>SUM(O322:O332)</f>
        <v>814.1174471574999</v>
      </c>
      <c r="Q333" s="106">
        <f>SUM(Q322:Q332)</f>
        <v>815.3049471574999</v>
      </c>
      <c r="S333" s="106">
        <f>SUM(S322:S332)</f>
        <v>815.2424471574999</v>
      </c>
    </row>
    <row r="334" spans="7:19" ht="13.5" customHeight="1" thickTop="1">
      <c r="G334" s="47"/>
      <c r="I334" s="47"/>
      <c r="K334" s="47"/>
      <c r="M334" s="47"/>
      <c r="O334" s="47"/>
      <c r="Q334" s="47"/>
      <c r="S334" s="47"/>
    </row>
    <row r="335" spans="1:19" ht="12.75">
      <c r="A335" t="s">
        <v>216</v>
      </c>
      <c r="G335" s="150">
        <v>0</v>
      </c>
      <c r="H335" s="151"/>
      <c r="I335" s="150">
        <v>0</v>
      </c>
      <c r="J335" s="151"/>
      <c r="K335" s="150">
        <v>0</v>
      </c>
      <c r="L335" s="151"/>
      <c r="M335" s="150">
        <v>1</v>
      </c>
      <c r="N335" s="151"/>
      <c r="O335" s="152">
        <v>1</v>
      </c>
      <c r="P335" s="153"/>
      <c r="Q335" s="152">
        <v>1</v>
      </c>
      <c r="S335" s="154">
        <f ca="1">OFFSET(E335,0,$S$298*2)</f>
        <v>1</v>
      </c>
    </row>
    <row r="336" spans="1:38" s="19" customFormat="1" ht="12.75">
      <c r="A336" s="5"/>
      <c r="B336" s="5"/>
      <c r="C336" s="5"/>
      <c r="D336" s="5"/>
      <c r="F336" s="5"/>
      <c r="G336" s="5"/>
      <c r="H336" s="5"/>
      <c r="I336" s="5"/>
      <c r="J336" s="5"/>
      <c r="K336" s="5"/>
      <c r="L336" s="5"/>
      <c r="M336" s="5"/>
      <c r="N336" s="5"/>
      <c r="O336" s="5"/>
      <c r="P336" s="5"/>
      <c r="Q336" s="5"/>
      <c r="R336" s="5"/>
      <c r="S336" s="5"/>
      <c r="T336" s="5"/>
      <c r="U336" s="5"/>
      <c r="V336" s="5"/>
      <c r="W336" s="5"/>
      <c r="AB336" s="5"/>
      <c r="AC336" s="5"/>
      <c r="AD336" s="5"/>
      <c r="AE336" s="5"/>
      <c r="AF336" s="5"/>
      <c r="AG336" s="5"/>
      <c r="AH336" s="5"/>
      <c r="AI336" s="5"/>
      <c r="AJ336" s="5"/>
      <c r="AK336" s="5"/>
      <c r="AL336" s="5"/>
    </row>
    <row r="337" spans="1:38" ht="12.75">
      <c r="A337" s="19" t="s">
        <v>111</v>
      </c>
      <c r="B337" s="19"/>
      <c r="C337" s="19"/>
      <c r="D337" s="19"/>
      <c r="F337" s="19"/>
      <c r="G337" s="109">
        <f>G333-G319</f>
        <v>0</v>
      </c>
      <c r="H337" s="19"/>
      <c r="I337" s="109">
        <f>I333-I319</f>
        <v>0</v>
      </c>
      <c r="J337" s="19"/>
      <c r="K337" s="109">
        <f>K333-K319</f>
        <v>0</v>
      </c>
      <c r="L337" s="19"/>
      <c r="M337" s="109">
        <f>M333-M319</f>
        <v>0</v>
      </c>
      <c r="N337" s="19"/>
      <c r="O337" s="109">
        <f>O333-O319</f>
        <v>0</v>
      </c>
      <c r="P337" s="19"/>
      <c r="Q337" s="109">
        <f>Q333-Q319</f>
        <v>0</v>
      </c>
      <c r="R337" s="19"/>
      <c r="S337" s="109">
        <f>S333-S319</f>
        <v>0</v>
      </c>
      <c r="T337" s="19"/>
      <c r="U337" s="19"/>
      <c r="V337" s="19"/>
      <c r="W337" s="19"/>
      <c r="AB337" s="19"/>
      <c r="AC337" s="19"/>
      <c r="AD337" s="19"/>
      <c r="AE337" s="19"/>
      <c r="AF337" s="19"/>
      <c r="AG337" s="19"/>
      <c r="AH337" s="19"/>
      <c r="AI337" s="19"/>
      <c r="AJ337" s="19"/>
      <c r="AK337" s="19"/>
      <c r="AL337" s="19"/>
    </row>
    <row r="339" spans="1:35" ht="12.75">
      <c r="A339" s="4" t="s">
        <v>163</v>
      </c>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row>
    <row r="340" ht="12.75">
      <c r="A340" s="3" t="str">
        <f>$A$2</f>
        <v>($ in millions, except per share data)</v>
      </c>
    </row>
    <row r="341" spans="7:35" ht="13.5" customHeight="1" thickBot="1">
      <c r="G341" s="130" t="s">
        <v>164</v>
      </c>
      <c r="H341" s="131"/>
      <c r="I341" s="132" t="s">
        <v>165</v>
      </c>
      <c r="J341" s="132"/>
      <c r="K341" s="132"/>
      <c r="L341" s="132"/>
      <c r="M341" s="132"/>
      <c r="N341" s="132"/>
      <c r="O341" s="132"/>
      <c r="P341" s="132"/>
      <c r="Q341" s="132"/>
      <c r="R341" s="133"/>
      <c r="S341" s="82" t="s">
        <v>166</v>
      </c>
      <c r="U341" s="132" t="s">
        <v>167</v>
      </c>
      <c r="V341" s="132"/>
      <c r="W341" s="132"/>
      <c r="X341" s="132"/>
      <c r="Y341" s="132"/>
      <c r="Z341" s="132"/>
      <c r="AA341" s="132"/>
      <c r="AB341" s="132"/>
      <c r="AC341" s="132"/>
      <c r="AD341" s="132"/>
      <c r="AE341" s="132"/>
      <c r="AF341" s="132"/>
      <c r="AG341" s="132"/>
      <c r="AH341" s="132"/>
      <c r="AI341" s="132"/>
    </row>
    <row r="342" spans="1:39" ht="12.75">
      <c r="A342" s="83" t="s">
        <v>168</v>
      </c>
      <c r="AM342" s="10"/>
    </row>
    <row r="343" spans="2:21" ht="12.75">
      <c r="B343" t="s">
        <v>169</v>
      </c>
      <c r="G343" s="134">
        <v>0.0065</v>
      </c>
      <c r="I343" s="135" t="s">
        <v>191</v>
      </c>
      <c r="K343" s="134"/>
      <c r="M343" s="134"/>
      <c r="O343" s="134"/>
      <c r="Q343" s="19"/>
      <c r="U343" t="s">
        <v>170</v>
      </c>
    </row>
    <row r="344" spans="2:21" ht="12.75">
      <c r="B344" t="s">
        <v>171</v>
      </c>
      <c r="G344" s="134">
        <v>0.0065</v>
      </c>
      <c r="I344" s="135" t="s">
        <v>191</v>
      </c>
      <c r="K344" s="134"/>
      <c r="M344" s="134"/>
      <c r="O344" s="134"/>
      <c r="Q344" s="19"/>
      <c r="U344" t="s">
        <v>170</v>
      </c>
    </row>
    <row r="345" spans="1:17" ht="12.75">
      <c r="A345" s="83" t="s">
        <v>172</v>
      </c>
      <c r="G345" s="19"/>
      <c r="I345" s="19"/>
      <c r="K345" s="19"/>
      <c r="M345" s="19"/>
      <c r="O345" s="19"/>
      <c r="Q345" s="19"/>
    </row>
    <row r="346" spans="2:21" ht="12.75">
      <c r="B346" t="s">
        <v>182</v>
      </c>
      <c r="G346" s="134">
        <v>0.0175</v>
      </c>
      <c r="I346" s="135" t="s">
        <v>173</v>
      </c>
      <c r="K346" s="134"/>
      <c r="M346" s="134"/>
      <c r="O346" s="134"/>
      <c r="Q346" s="136">
        <f>revolver</f>
        <v>100</v>
      </c>
      <c r="S346" s="136">
        <f>G346*Q346</f>
        <v>1.7500000000000002</v>
      </c>
      <c r="U346" t="s">
        <v>174</v>
      </c>
    </row>
    <row r="347" spans="2:30" ht="12.75">
      <c r="B347" t="s">
        <v>183</v>
      </c>
      <c r="G347" s="134">
        <v>0.02</v>
      </c>
      <c r="I347" s="135" t="s">
        <v>175</v>
      </c>
      <c r="K347" s="134"/>
      <c r="M347" s="134"/>
      <c r="O347" s="134"/>
      <c r="Q347" s="37">
        <f>S307</f>
        <v>150</v>
      </c>
      <c r="S347" s="37">
        <f>G347*Q347</f>
        <v>3</v>
      </c>
      <c r="U347" t="s">
        <v>174</v>
      </c>
      <c r="AD347" s="137"/>
    </row>
    <row r="348" spans="2:30" ht="12.75">
      <c r="B348" t="s">
        <v>184</v>
      </c>
      <c r="G348" s="134">
        <v>0.0175</v>
      </c>
      <c r="I348" s="135" t="s">
        <v>175</v>
      </c>
      <c r="K348" s="134"/>
      <c r="M348" s="134"/>
      <c r="O348" s="134"/>
      <c r="Q348" s="37">
        <f aca="true" t="shared" si="32" ref="Q348:Q354">S308</f>
        <v>0</v>
      </c>
      <c r="S348" s="37">
        <f aca="true" t="shared" si="33" ref="S348:S354">G348*Q348</f>
        <v>0</v>
      </c>
      <c r="U348" t="s">
        <v>174</v>
      </c>
      <c r="AD348" s="137"/>
    </row>
    <row r="349" spans="2:30" ht="12.75">
      <c r="B349" t="s">
        <v>185</v>
      </c>
      <c r="G349" s="134">
        <v>0.0225</v>
      </c>
      <c r="I349" s="135" t="s">
        <v>175</v>
      </c>
      <c r="K349" s="134"/>
      <c r="M349" s="134"/>
      <c r="O349" s="134"/>
      <c r="Q349" s="37">
        <f t="shared" si="32"/>
        <v>75</v>
      </c>
      <c r="S349" s="37">
        <f t="shared" si="33"/>
        <v>1.6875</v>
      </c>
      <c r="U349" t="s">
        <v>174</v>
      </c>
      <c r="AD349" s="137"/>
    </row>
    <row r="350" spans="2:21" ht="12.75">
      <c r="B350" t="s">
        <v>186</v>
      </c>
      <c r="G350" s="134">
        <v>0.03</v>
      </c>
      <c r="I350" s="135" t="s">
        <v>175</v>
      </c>
      <c r="K350" s="134"/>
      <c r="M350" s="134"/>
      <c r="O350" s="134"/>
      <c r="Q350" s="37">
        <f t="shared" si="32"/>
        <v>0</v>
      </c>
      <c r="S350" s="37">
        <f t="shared" si="33"/>
        <v>0</v>
      </c>
      <c r="U350" t="s">
        <v>174</v>
      </c>
    </row>
    <row r="351" spans="2:21" ht="12.75">
      <c r="B351" t="s">
        <v>187</v>
      </c>
      <c r="G351" s="134">
        <v>0</v>
      </c>
      <c r="I351" s="135" t="s">
        <v>175</v>
      </c>
      <c r="K351" s="134"/>
      <c r="M351" s="134"/>
      <c r="O351" s="134"/>
      <c r="Q351" s="37">
        <f t="shared" si="32"/>
        <v>0</v>
      </c>
      <c r="S351" s="37">
        <f t="shared" si="33"/>
        <v>0</v>
      </c>
      <c r="U351" t="s">
        <v>174</v>
      </c>
    </row>
    <row r="352" spans="2:21" ht="12.75">
      <c r="B352" t="s">
        <v>188</v>
      </c>
      <c r="G352" s="134">
        <v>0</v>
      </c>
      <c r="I352" s="135" t="s">
        <v>175</v>
      </c>
      <c r="K352" s="134"/>
      <c r="M352" s="134"/>
      <c r="O352" s="134"/>
      <c r="Q352" s="37">
        <f t="shared" si="32"/>
        <v>0</v>
      </c>
      <c r="S352" s="37">
        <f t="shared" si="33"/>
        <v>0</v>
      </c>
      <c r="U352" t="s">
        <v>174</v>
      </c>
    </row>
    <row r="353" spans="2:21" ht="12.75">
      <c r="B353" t="s">
        <v>189</v>
      </c>
      <c r="G353" s="134">
        <v>0</v>
      </c>
      <c r="I353" s="135" t="s">
        <v>175</v>
      </c>
      <c r="K353" s="134"/>
      <c r="M353" s="134"/>
      <c r="O353" s="134"/>
      <c r="Q353" s="37">
        <f t="shared" si="32"/>
        <v>10</v>
      </c>
      <c r="S353" s="37">
        <f t="shared" si="33"/>
        <v>0</v>
      </c>
      <c r="U353" t="s">
        <v>176</v>
      </c>
    </row>
    <row r="354" spans="2:21" ht="12.75">
      <c r="B354" t="s">
        <v>190</v>
      </c>
      <c r="G354" s="134">
        <v>0</v>
      </c>
      <c r="I354" s="135" t="s">
        <v>175</v>
      </c>
      <c r="K354" s="134"/>
      <c r="M354" s="134"/>
      <c r="O354" s="134"/>
      <c r="Q354" s="37">
        <f t="shared" si="32"/>
        <v>0</v>
      </c>
      <c r="S354" s="37">
        <f t="shared" si="33"/>
        <v>0</v>
      </c>
      <c r="U354" t="s">
        <v>176</v>
      </c>
    </row>
    <row r="355" ht="12.75">
      <c r="A355" s="83" t="s">
        <v>177</v>
      </c>
    </row>
    <row r="356" spans="2:21" ht="12.75">
      <c r="B356" t="s">
        <v>178</v>
      </c>
      <c r="G356" s="77"/>
      <c r="I356" s="77"/>
      <c r="K356" s="77"/>
      <c r="M356" s="77"/>
      <c r="O356" s="77"/>
      <c r="Q356" s="77"/>
      <c r="S356" s="77">
        <v>3</v>
      </c>
      <c r="U356" t="s">
        <v>170</v>
      </c>
    </row>
    <row r="357" spans="2:21" ht="12.75">
      <c r="B357" t="s">
        <v>179</v>
      </c>
      <c r="G357" s="38"/>
      <c r="I357" s="38"/>
      <c r="K357" s="38"/>
      <c r="M357" s="38"/>
      <c r="O357" s="38"/>
      <c r="Q357" s="38"/>
      <c r="S357" s="38">
        <v>2.5</v>
      </c>
      <c r="U357" t="s">
        <v>170</v>
      </c>
    </row>
    <row r="358" spans="2:21" ht="12.75">
      <c r="B358" t="s">
        <v>180</v>
      </c>
      <c r="G358" s="38"/>
      <c r="I358" s="38"/>
      <c r="K358" s="38"/>
      <c r="M358" s="38"/>
      <c r="O358" s="38"/>
      <c r="Q358" s="38"/>
      <c r="S358" s="38">
        <v>1</v>
      </c>
      <c r="U358" t="s">
        <v>170</v>
      </c>
    </row>
    <row r="359" spans="2:21" ht="12.75">
      <c r="B359" t="s">
        <v>66</v>
      </c>
      <c r="G359" s="38"/>
      <c r="I359" s="38"/>
      <c r="K359" s="38"/>
      <c r="M359" s="38"/>
      <c r="O359" s="117"/>
      <c r="Q359" s="38"/>
      <c r="S359" s="38">
        <v>2</v>
      </c>
      <c r="U359" t="s">
        <v>170</v>
      </c>
    </row>
    <row r="360" spans="2:21" ht="12.75">
      <c r="B360" t="s">
        <v>181</v>
      </c>
      <c r="G360" s="38"/>
      <c r="I360" s="38"/>
      <c r="K360" s="38"/>
      <c r="M360" s="38"/>
      <c r="O360" s="38"/>
      <c r="Q360" s="38"/>
      <c r="S360" s="38">
        <v>0</v>
      </c>
      <c r="U360" t="s">
        <v>170</v>
      </c>
    </row>
    <row r="362" spans="1:35" ht="13.5" thickBot="1">
      <c r="A362" s="83" t="s">
        <v>259</v>
      </c>
      <c r="O362" s="22" t="str">
        <f>O$46</f>
        <v>2 Mos.</v>
      </c>
      <c r="Q362" s="20" t="str">
        <f>Q$263</f>
        <v>Projected Fiscal Years Ending September 30,</v>
      </c>
      <c r="R362" s="20"/>
      <c r="S362" s="20"/>
      <c r="T362" s="20"/>
      <c r="U362" s="20"/>
      <c r="V362" s="20"/>
      <c r="W362" s="20"/>
      <c r="X362" s="20"/>
      <c r="Y362" s="20"/>
      <c r="Z362" s="20"/>
      <c r="AA362" s="20"/>
      <c r="AB362" s="20"/>
      <c r="AC362" s="20"/>
      <c r="AD362" s="20"/>
      <c r="AE362" s="20"/>
      <c r="AF362" s="20"/>
      <c r="AG362" s="20"/>
      <c r="AH362" s="20"/>
      <c r="AI362" s="20"/>
    </row>
    <row r="363" spans="9:35" ht="12.75">
      <c r="I363" s="171" t="s">
        <v>252</v>
      </c>
      <c r="K363" s="171" t="s">
        <v>256</v>
      </c>
      <c r="O363" s="22" t="str">
        <f>O$47</f>
        <v>Ending</v>
      </c>
      <c r="Q363" s="81">
        <f>Q$264</f>
        <v>1</v>
      </c>
      <c r="S363" s="81">
        <f>S$264</f>
        <v>2</v>
      </c>
      <c r="U363" s="81">
        <f>U$264</f>
        <v>3</v>
      </c>
      <c r="W363" s="81">
        <f>W$264</f>
        <v>4</v>
      </c>
      <c r="Y363" s="81">
        <f>Y$264</f>
        <v>5</v>
      </c>
      <c r="AA363" s="81">
        <f>AA$264</f>
        <v>6</v>
      </c>
      <c r="AC363" s="81">
        <f>AC$264</f>
        <v>7</v>
      </c>
      <c r="AE363" s="81">
        <f>AE$264</f>
        <v>8</v>
      </c>
      <c r="AG363" s="81">
        <f>AG$264</f>
        <v>9</v>
      </c>
      <c r="AI363" s="81">
        <f>AI$264</f>
        <v>10</v>
      </c>
    </row>
    <row r="364" spans="9:35" ht="13.5" thickBot="1">
      <c r="I364" s="82" t="s">
        <v>257</v>
      </c>
      <c r="K364" s="82" t="s">
        <v>258</v>
      </c>
      <c r="O364" s="97" t="str">
        <f>O$48</f>
        <v>9/30/2008</v>
      </c>
      <c r="Q364" s="82">
        <f>Q$265</f>
        <v>2008</v>
      </c>
      <c r="S364" s="82">
        <f>S$265</f>
        <v>2009</v>
      </c>
      <c r="U364" s="82">
        <f>U$265</f>
        <v>2010</v>
      </c>
      <c r="W364" s="82">
        <f>W$265</f>
        <v>2011</v>
      </c>
      <c r="Y364" s="82">
        <f>Y$265</f>
        <v>2012</v>
      </c>
      <c r="AA364" s="82">
        <f>AA$265</f>
        <v>2013</v>
      </c>
      <c r="AC364" s="82">
        <f>AC$265</f>
        <v>2014</v>
      </c>
      <c r="AE364" s="82">
        <f>AE$265</f>
        <v>2015</v>
      </c>
      <c r="AG364" s="82">
        <f>AG$265</f>
        <v>2016</v>
      </c>
      <c r="AI364" s="82">
        <f>AI$265</f>
        <v>2017</v>
      </c>
    </row>
    <row r="365" spans="9:35" ht="4.5" customHeight="1">
      <c r="I365" s="173"/>
      <c r="K365" s="173"/>
      <c r="O365" s="174"/>
      <c r="Q365" s="173"/>
      <c r="S365" s="173"/>
      <c r="U365" s="173"/>
      <c r="W365" s="173"/>
      <c r="Y365" s="173"/>
      <c r="AA365" s="173"/>
      <c r="AC365" s="173"/>
      <c r="AE365" s="173"/>
      <c r="AG365" s="173"/>
      <c r="AI365" s="173"/>
    </row>
    <row r="366" spans="2:35" ht="12.75">
      <c r="B366" t="str">
        <f>B346</f>
        <v>Revolver</v>
      </c>
      <c r="I366" s="38">
        <v>5</v>
      </c>
      <c r="K366" s="76">
        <f aca="true" t="shared" si="34" ref="K366:K372">IF(ISERROR(S346/I366),0,S346/I366)</f>
        <v>0.35000000000000003</v>
      </c>
      <c r="O366" s="76">
        <f aca="true" t="shared" si="35" ref="O366:O372">stub*K366</f>
        <v>0.058333333333333334</v>
      </c>
      <c r="Q366" s="76">
        <f aca="true" t="shared" si="36" ref="Q366:Q372">O366</f>
        <v>0.058333333333333334</v>
      </c>
      <c r="S366" s="76">
        <f>MAX(0,MIN($K366,$S346-SUM($Q366:Q366)))</f>
        <v>0.35000000000000003</v>
      </c>
      <c r="U366" s="76">
        <f>MAX(0,MIN($K366,$S346-SUM($Q366:S366)))</f>
        <v>0.35000000000000003</v>
      </c>
      <c r="W366" s="76">
        <f>MAX(0,MIN($K366,$S346-SUM($Q366:U366)))</f>
        <v>0.35000000000000003</v>
      </c>
      <c r="Y366" s="76">
        <f>MAX(0,MIN($K366,$S346-SUM($Q366:W366)))</f>
        <v>0.35000000000000003</v>
      </c>
      <c r="AA366" s="76">
        <f>MAX(0,MIN($K366,$S346-SUM($Q366:Y366)))</f>
        <v>0.29166666666666674</v>
      </c>
      <c r="AC366" s="76">
        <f>MAX(0,MIN($K366,$S346-SUM($Q366:AA366)))</f>
        <v>0</v>
      </c>
      <c r="AE366" s="76">
        <f>MAX(0,MIN($K366,$S346-SUM($Q366:AC366)))</f>
        <v>0</v>
      </c>
      <c r="AG366" s="76">
        <f>MAX(0,MIN($K366,$S346-SUM($Q366:AE366)))</f>
        <v>0</v>
      </c>
      <c r="AI366" s="76">
        <f>MAX(0,MIN($K366,$S346-SUM($Q366:AG366)))</f>
        <v>0</v>
      </c>
    </row>
    <row r="367" spans="2:35" ht="12.75">
      <c r="B367" t="str">
        <f aca="true" t="shared" si="37" ref="B367:B372">B347</f>
        <v>Term Loan - A</v>
      </c>
      <c r="I367" s="37">
        <f aca="true" t="shared" si="38" ref="I367:I372">K171</f>
        <v>5</v>
      </c>
      <c r="K367" s="172">
        <f t="shared" si="34"/>
        <v>0.6</v>
      </c>
      <c r="O367" s="172">
        <f t="shared" si="35"/>
        <v>0.09999999999999999</v>
      </c>
      <c r="Q367" s="37">
        <f t="shared" si="36"/>
        <v>0.09999999999999999</v>
      </c>
      <c r="S367" s="37">
        <f>MAX(0,MIN($K367,$S347-SUM($Q367:Q367)))</f>
        <v>0.6</v>
      </c>
      <c r="U367" s="37">
        <f>MAX(0,MIN($K367,$S347-SUM($Q367:S367)))</f>
        <v>0.6</v>
      </c>
      <c r="W367" s="37">
        <f>MAX(0,MIN($K367,$S347-SUM($Q367:U367)))</f>
        <v>0.6</v>
      </c>
      <c r="Y367" s="37">
        <f>MAX(0,MIN($K367,$S347-SUM($Q367:W367)))</f>
        <v>0.6</v>
      </c>
      <c r="AA367" s="37">
        <f>MAX(0,MIN($K367,$S347-SUM($Q367:Y367)))</f>
        <v>0.5</v>
      </c>
      <c r="AC367" s="37">
        <f>MAX(0,MIN($K367,$S347-SUM($Q367:AA367)))</f>
        <v>0</v>
      </c>
      <c r="AE367" s="37">
        <f>MAX(0,MIN($K367,$S347-SUM($Q367:AC367)))</f>
        <v>0</v>
      </c>
      <c r="AG367" s="37">
        <f>MAX(0,MIN($K367,$S347-SUM($Q367:AE367)))</f>
        <v>0</v>
      </c>
      <c r="AI367" s="37">
        <f>MAX(0,MIN($K367,$S347-SUM($Q367:AG367)))</f>
        <v>0</v>
      </c>
    </row>
    <row r="368" spans="2:35" ht="12.75">
      <c r="B368" t="str">
        <f t="shared" si="37"/>
        <v>Term Loan - B</v>
      </c>
      <c r="I368" s="37">
        <f t="shared" si="38"/>
        <v>6</v>
      </c>
      <c r="K368" s="172">
        <f t="shared" si="34"/>
        <v>0</v>
      </c>
      <c r="O368" s="172">
        <f t="shared" si="35"/>
        <v>0</v>
      </c>
      <c r="Q368" s="37">
        <f t="shared" si="36"/>
        <v>0</v>
      </c>
      <c r="S368" s="37">
        <f>MAX(0,MIN($K368,$S348-SUM($Q368:Q368)))</f>
        <v>0</v>
      </c>
      <c r="U368" s="37">
        <f>MAX(0,MIN($K368,$S348-SUM($Q368:S368)))</f>
        <v>0</v>
      </c>
      <c r="W368" s="37">
        <f>MAX(0,MIN($K368,$S348-SUM($Q368:U368)))</f>
        <v>0</v>
      </c>
      <c r="Y368" s="37">
        <f>MAX(0,MIN($K368,$S348-SUM($Q368:W368)))</f>
        <v>0</v>
      </c>
      <c r="AA368" s="37">
        <f>MAX(0,MIN($K368,$S348-SUM($Q368:Y368)))</f>
        <v>0</v>
      </c>
      <c r="AC368" s="37">
        <f>MAX(0,MIN($K368,$S348-SUM($Q368:AA368)))</f>
        <v>0</v>
      </c>
      <c r="AE368" s="37">
        <f>MAX(0,MIN($K368,$S348-SUM($Q368:AC368)))</f>
        <v>0</v>
      </c>
      <c r="AG368" s="37">
        <f>MAX(0,MIN($K368,$S348-SUM($Q368:AE368)))</f>
        <v>0</v>
      </c>
      <c r="AI368" s="37">
        <f>MAX(0,MIN($K368,$S348-SUM($Q368:AG368)))</f>
        <v>0</v>
      </c>
    </row>
    <row r="369" spans="2:35" ht="12.75">
      <c r="B369" t="str">
        <f t="shared" si="37"/>
        <v>Senior Note</v>
      </c>
      <c r="I369" s="37">
        <f t="shared" si="38"/>
        <v>4</v>
      </c>
      <c r="K369" s="172">
        <f t="shared" si="34"/>
        <v>0.421875</v>
      </c>
      <c r="O369" s="172">
        <f t="shared" si="35"/>
        <v>0.0703125</v>
      </c>
      <c r="Q369" s="37">
        <f t="shared" si="36"/>
        <v>0.0703125</v>
      </c>
      <c r="S369" s="37">
        <f>MAX(0,MIN($K369,$S349-SUM($Q369:Q369)))</f>
        <v>0.421875</v>
      </c>
      <c r="U369" s="37">
        <f>MAX(0,MIN($K369,$S349-SUM($Q369:S369)))</f>
        <v>0.421875</v>
      </c>
      <c r="W369" s="37">
        <f>MAX(0,MIN($K369,$S349-SUM($Q369:U369)))</f>
        <v>0.421875</v>
      </c>
      <c r="Y369" s="37">
        <f>MAX(0,MIN($K369,$S349-SUM($Q369:W369)))</f>
        <v>0.3515625</v>
      </c>
      <c r="AA369" s="37">
        <f>MAX(0,MIN($K369,$S349-SUM($Q369:Y369)))</f>
        <v>0</v>
      </c>
      <c r="AC369" s="37">
        <f>MAX(0,MIN($K369,$S349-SUM($Q369:AA369)))</f>
        <v>0</v>
      </c>
      <c r="AE369" s="37">
        <f>MAX(0,MIN($K369,$S349-SUM($Q369:AC369)))</f>
        <v>0</v>
      </c>
      <c r="AG369" s="37">
        <f>MAX(0,MIN($K369,$S349-SUM($Q369:AE369)))</f>
        <v>0</v>
      </c>
      <c r="AI369" s="37">
        <f>MAX(0,MIN($K369,$S349-SUM($Q369:AG369)))</f>
        <v>0</v>
      </c>
    </row>
    <row r="370" spans="2:35" ht="12.75">
      <c r="B370" t="str">
        <f t="shared" si="37"/>
        <v>Subordinated Note</v>
      </c>
      <c r="I370" s="37">
        <f t="shared" si="38"/>
        <v>4</v>
      </c>
      <c r="K370" s="172">
        <f t="shared" si="34"/>
        <v>0</v>
      </c>
      <c r="O370" s="172">
        <f t="shared" si="35"/>
        <v>0</v>
      </c>
      <c r="Q370" s="37">
        <f t="shared" si="36"/>
        <v>0</v>
      </c>
      <c r="S370" s="37">
        <f>MAX(0,MIN($K370,$S350-SUM($Q370:Q370)))</f>
        <v>0</v>
      </c>
      <c r="U370" s="37">
        <f>MAX(0,MIN($K370,$S350-SUM($Q370:S370)))</f>
        <v>0</v>
      </c>
      <c r="W370" s="37">
        <f>MAX(0,MIN($K370,$S350-SUM($Q370:U370)))</f>
        <v>0</v>
      </c>
      <c r="Y370" s="37">
        <f>MAX(0,MIN($K370,$S350-SUM($Q370:W370)))</f>
        <v>0</v>
      </c>
      <c r="AA370" s="37">
        <f>MAX(0,MIN($K370,$S350-SUM($Q370:Y370)))</f>
        <v>0</v>
      </c>
      <c r="AC370" s="37">
        <f>MAX(0,MIN($K370,$S350-SUM($Q370:AA370)))</f>
        <v>0</v>
      </c>
      <c r="AE370" s="37">
        <f>MAX(0,MIN($K370,$S350-SUM($Q370:AC370)))</f>
        <v>0</v>
      </c>
      <c r="AG370" s="37">
        <f>MAX(0,MIN($K370,$S350-SUM($Q370:AE370)))</f>
        <v>0</v>
      </c>
      <c r="AI370" s="37">
        <f>MAX(0,MIN($K370,$S350-SUM($Q370:AG370)))</f>
        <v>0</v>
      </c>
    </row>
    <row r="371" spans="2:35" ht="12.75">
      <c r="B371" t="str">
        <f t="shared" si="37"/>
        <v>Mezzanine</v>
      </c>
      <c r="I371" s="37">
        <f t="shared" si="38"/>
        <v>0</v>
      </c>
      <c r="K371" s="172">
        <f t="shared" si="34"/>
        <v>0</v>
      </c>
      <c r="O371" s="172">
        <f t="shared" si="35"/>
        <v>0</v>
      </c>
      <c r="Q371" s="37">
        <f t="shared" si="36"/>
        <v>0</v>
      </c>
      <c r="S371" s="37">
        <f>MAX(0,MIN($K371,$S351-SUM($Q371:Q371)))</f>
        <v>0</v>
      </c>
      <c r="U371" s="37">
        <f>MAX(0,MIN($K371,$S351-SUM($Q371:S371)))</f>
        <v>0</v>
      </c>
      <c r="W371" s="37">
        <f>MAX(0,MIN($K371,$S351-SUM($Q371:U371)))</f>
        <v>0</v>
      </c>
      <c r="Y371" s="37">
        <f>MAX(0,MIN($K371,$S351-SUM($Q371:W371)))</f>
        <v>0</v>
      </c>
      <c r="AA371" s="37">
        <f>MAX(0,MIN($K371,$S351-SUM($Q371:Y371)))</f>
        <v>0</v>
      </c>
      <c r="AC371" s="37">
        <f>MAX(0,MIN($K371,$S351-SUM($Q371:AA371)))</f>
        <v>0</v>
      </c>
      <c r="AE371" s="37">
        <f>MAX(0,MIN($K371,$S351-SUM($Q371:AC371)))</f>
        <v>0</v>
      </c>
      <c r="AG371" s="37">
        <f>MAX(0,MIN($K371,$S351-SUM($Q371:AE371)))</f>
        <v>0</v>
      </c>
      <c r="AI371" s="37">
        <f>MAX(0,MIN($K371,$S351-SUM($Q371:AG371)))</f>
        <v>0</v>
      </c>
    </row>
    <row r="372" spans="2:35" ht="13.5" thickBot="1">
      <c r="B372" t="str">
        <f t="shared" si="37"/>
        <v>Seller Note</v>
      </c>
      <c r="I372" s="37">
        <f t="shared" si="38"/>
        <v>8</v>
      </c>
      <c r="K372" s="172">
        <f t="shared" si="34"/>
        <v>0</v>
      </c>
      <c r="O372" s="172">
        <f t="shared" si="35"/>
        <v>0</v>
      </c>
      <c r="Q372" s="37">
        <f t="shared" si="36"/>
        <v>0</v>
      </c>
      <c r="S372" s="37">
        <f>MAX(0,MIN($K372,$S352-SUM($Q372:Q372)))</f>
        <v>0</v>
      </c>
      <c r="U372" s="37">
        <f>MAX(0,MIN($K372,$S352-SUM($Q372:S372)))</f>
        <v>0</v>
      </c>
      <c r="W372" s="37">
        <f>MAX(0,MIN($K372,$S352-SUM($Q372:U372)))</f>
        <v>0</v>
      </c>
      <c r="Y372" s="37">
        <f>MAX(0,MIN($K372,$S352-SUM($Q372:W372)))</f>
        <v>0</v>
      </c>
      <c r="AA372" s="37">
        <f>MAX(0,MIN($K372,$S352-SUM($Q372:Y372)))</f>
        <v>0</v>
      </c>
      <c r="AC372" s="37">
        <f>MAX(0,MIN($K372,$S352-SUM($Q372:AA372)))</f>
        <v>0</v>
      </c>
      <c r="AE372" s="37">
        <f>MAX(0,MIN($K372,$S352-SUM($Q372:AC372)))</f>
        <v>0</v>
      </c>
      <c r="AG372" s="37">
        <f>MAX(0,MIN($K372,$S352-SUM($Q372:AE372)))</f>
        <v>0</v>
      </c>
      <c r="AI372" s="37">
        <f>MAX(0,MIN($K372,$S352-SUM($Q372:AG372)))</f>
        <v>0</v>
      </c>
    </row>
    <row r="373" spans="3:35" ht="13.5" thickBot="1">
      <c r="C373" s="10" t="s">
        <v>260</v>
      </c>
      <c r="O373" s="106">
        <f>SUM(O366:O372)</f>
        <v>0.22864583333333333</v>
      </c>
      <c r="Q373" s="106">
        <f>SUM(Q366:Q372)</f>
        <v>0.22864583333333333</v>
      </c>
      <c r="S373" s="106">
        <f>SUM(S366:S372)</f>
        <v>1.371875</v>
      </c>
      <c r="U373" s="106">
        <f>SUM(U366:U372)</f>
        <v>1.371875</v>
      </c>
      <c r="W373" s="106">
        <f>SUM(W366:W372)</f>
        <v>1.371875</v>
      </c>
      <c r="Y373" s="106">
        <f>SUM(Y366:Y372)</f>
        <v>1.3015625</v>
      </c>
      <c r="AA373" s="106">
        <f>SUM(AA366:AA372)</f>
        <v>0.7916666666666667</v>
      </c>
      <c r="AC373" s="106">
        <f>SUM(AC366:AC372)</f>
        <v>0</v>
      </c>
      <c r="AE373" s="106">
        <f>SUM(AE366:AE372)</f>
        <v>0</v>
      </c>
      <c r="AG373" s="106">
        <f>SUM(AG366:AG372)</f>
        <v>0</v>
      </c>
      <c r="AI373" s="106">
        <f>SUM(AI366:AI372)</f>
        <v>0</v>
      </c>
    </row>
    <row r="374" ht="13.5" thickTop="1"/>
  </sheetData>
  <conditionalFormatting sqref="G335:Q335 M175 Q33 Q29">
    <cfRule type="cellIs" priority="1" dxfId="0" operator="greaterThan" stopIfTrue="1">
      <formula>1</formula>
    </cfRule>
    <cfRule type="cellIs" priority="2" dxfId="0" operator="between" stopIfTrue="1">
      <formula>0.00001</formula>
      <formula>0.99999</formula>
    </cfRule>
    <cfRule type="cellIs" priority="3" dxfId="0" operator="lessThan" stopIfTrue="1">
      <formula>0</formula>
    </cfRule>
  </conditionalFormatting>
  <dataValidations count="6">
    <dataValidation type="whole" operator="equal" showInputMessage="1" showErrorMessage="1" errorTitle="Validation Error" error="Goodwill is not amortized under GAAP accounting." sqref="K252">
      <formula1>0</formula1>
    </dataValidation>
    <dataValidation type="decimal" operator="equal" allowBlank="1" showInputMessage="1" showErrorMessage="1" sqref="G174:G176">
      <formula1>0</formula1>
    </dataValidation>
    <dataValidation type="whole" showInputMessage="1" showErrorMessage="1" errorTitle="Validation Error" error="Enter either 0 or 1." sqref="I170:I176">
      <formula1>0</formula1>
      <formula2>1</formula2>
    </dataValidation>
    <dataValidation type="whole" allowBlank="1" showInputMessage="1" showErrorMessage="1" errorTitle="Validation Error" error="You must input either a 0 or 1." sqref="B232">
      <formula1>0</formula1>
      <formula2>1</formula2>
    </dataValidation>
    <dataValidation type="whole" showInputMessage="1" showErrorMessage="1" errorTitle="Validation Error" error="Enter either a 0 or 1." sqref="Q33 Q29">
      <formula1>0</formula1>
      <formula2>1</formula2>
    </dataValidation>
    <dataValidation type="whole" operator="greaterThanOrEqual" showInputMessage="1" showErrorMessage="1" sqref="Y27">
      <formula1>1</formula1>
    </dataValidation>
  </dataValidations>
  <printOptions/>
  <pageMargins left="0.75" right="0.75" top="1" bottom="1" header="0.5" footer="0.5"/>
  <pageSetup horizontalDpi="300" verticalDpi="300" orientation="portrait" paperSize="119" r:id="rId3"/>
  <legacyDrawing r:id="rId2"/>
</worksheet>
</file>

<file path=xl/worksheets/sheet2.xml><?xml version="1.0" encoding="utf-8"?>
<worksheet xmlns="http://schemas.openxmlformats.org/spreadsheetml/2006/main" xmlns:r="http://schemas.openxmlformats.org/officeDocument/2006/relationships">
  <dimension ref="A1:X66"/>
  <sheetViews>
    <sheetView showGridLines="0" zoomScale="80" zoomScaleNormal="80" workbookViewId="0" topLeftCell="A1">
      <selection activeCell="A1" sqref="A1"/>
    </sheetView>
  </sheetViews>
  <sheetFormatPr defaultColWidth="9.140625" defaultRowHeight="12.75"/>
  <cols>
    <col min="1" max="1" width="0.85546875" style="0" customWidth="1"/>
    <col min="2" max="3" width="1.7109375" style="0" customWidth="1"/>
    <col min="4" max="7" width="9.7109375" style="0" customWidth="1"/>
    <col min="8" max="8" width="1.7109375" style="0" customWidth="1"/>
    <col min="9" max="9" width="9.7109375" style="0" customWidth="1"/>
    <col min="10" max="10" width="1.7109375" style="0" customWidth="1"/>
    <col min="11" max="11" width="9.7109375" style="0" customWidth="1"/>
    <col min="12" max="12" width="1.7109375" style="0" customWidth="1"/>
    <col min="13" max="13" width="9.7109375" style="0" customWidth="1"/>
    <col min="14" max="14" width="1.7109375" style="0" customWidth="1"/>
    <col min="15" max="15" width="9.7109375" style="0" customWidth="1"/>
    <col min="16" max="16" width="1.7109375" style="0" customWidth="1"/>
    <col min="17" max="17" width="9.7109375" style="0" customWidth="1"/>
    <col min="18" max="18" width="1.7109375" style="0" customWidth="1"/>
    <col min="19" max="19" width="9.7109375" style="0" customWidth="1"/>
    <col min="20" max="20" width="1.7109375" style="0" customWidth="1"/>
    <col min="21" max="21" width="9.7109375" style="0" customWidth="1"/>
    <col min="22" max="23" width="0.85546875" style="0" customWidth="1"/>
    <col min="24" max="24" width="10.7109375" style="0" customWidth="1"/>
  </cols>
  <sheetData>
    <row r="1" spans="1:24" ht="24" customHeight="1" thickBot="1">
      <c r="A1" s="1" t="str">
        <f>tgt&amp;" Income Statement"</f>
        <v>TargetCo Income Statement</v>
      </c>
      <c r="B1" s="18"/>
      <c r="C1" s="2"/>
      <c r="D1" s="2"/>
      <c r="E1" s="2"/>
      <c r="F1" s="2"/>
      <c r="G1" s="2"/>
      <c r="H1" s="2"/>
      <c r="I1" s="2"/>
      <c r="J1" s="2"/>
      <c r="K1" s="2"/>
      <c r="L1" s="2"/>
      <c r="M1" s="2"/>
      <c r="N1" s="2"/>
      <c r="O1" s="2"/>
      <c r="P1" s="2"/>
      <c r="Q1" s="2"/>
      <c r="R1" s="2"/>
      <c r="S1" s="2"/>
      <c r="T1" s="2"/>
      <c r="U1" s="2"/>
      <c r="V1" s="2"/>
      <c r="W1" s="2"/>
      <c r="X1" s="2"/>
    </row>
    <row r="2" spans="1:2" ht="12.75">
      <c r="A2" s="3" t="s">
        <v>0</v>
      </c>
      <c r="B2" s="19"/>
    </row>
    <row r="4" spans="7:24" ht="13.5" customHeight="1" thickBot="1">
      <c r="G4" s="20" t="str">
        <f>"FY Ended "&amp;TEXT(fye,"mmmm d")&amp;","</f>
        <v>FY Ended September 30,</v>
      </c>
      <c r="H4" s="20"/>
      <c r="I4" s="20"/>
      <c r="J4" s="20"/>
      <c r="K4" s="20"/>
      <c r="M4" s="20" t="str">
        <f>"FY Ending "&amp;TEXT(fye,"mmmm d")&amp;","</f>
        <v>FY Ending September 30,</v>
      </c>
      <c r="N4" s="21"/>
      <c r="O4" s="21"/>
      <c r="P4" s="21"/>
      <c r="Q4" s="21"/>
      <c r="R4" s="21"/>
      <c r="S4" s="21"/>
      <c r="T4" s="21"/>
      <c r="U4" s="21"/>
      <c r="X4" s="22" t="s">
        <v>21</v>
      </c>
    </row>
    <row r="5" spans="7:24" ht="13.5" customHeight="1" thickBot="1">
      <c r="G5" s="23">
        <f>I5-1</f>
        <v>2005</v>
      </c>
      <c r="H5" s="24"/>
      <c r="I5" s="23">
        <f>K5-1</f>
        <v>2006</v>
      </c>
      <c r="K5" s="25">
        <v>2007</v>
      </c>
      <c r="M5" s="26">
        <f>K5+1</f>
        <v>2008</v>
      </c>
      <c r="O5" s="26">
        <f>M5+1</f>
        <v>2009</v>
      </c>
      <c r="Q5" s="26">
        <f>O5+1</f>
        <v>2010</v>
      </c>
      <c r="R5" s="27"/>
      <c r="S5" s="28">
        <f>Q5+1</f>
        <v>2011</v>
      </c>
      <c r="U5" s="28">
        <f>S5+1</f>
        <v>2012</v>
      </c>
      <c r="X5" s="29" t="str">
        <f>M5&amp;"-"&amp;U5</f>
        <v>2008-2012</v>
      </c>
    </row>
    <row r="6" ht="4.5" customHeight="1"/>
    <row r="7" spans="2:24" s="30" customFormat="1" ht="12.75">
      <c r="B7" s="30" t="s">
        <v>22</v>
      </c>
      <c r="G7" s="31">
        <v>370.8</v>
      </c>
      <c r="I7" s="31">
        <v>380.8</v>
      </c>
      <c r="K7" s="31">
        <v>402.5</v>
      </c>
      <c r="M7" s="31">
        <v>458.1</v>
      </c>
      <c r="O7" s="31">
        <v>468</v>
      </c>
      <c r="Q7" s="31">
        <v>470.5</v>
      </c>
      <c r="S7" s="32">
        <f>Q7*(1+S8)</f>
        <v>475.205</v>
      </c>
      <c r="U7" s="32">
        <f>S7*(1+U8)</f>
        <v>479.95705</v>
      </c>
      <c r="X7" s="33">
        <f>(U7/M7)^(1/(U$5-$M$5))-1</f>
        <v>0.011720432226423716</v>
      </c>
    </row>
    <row r="8" spans="3:24" s="19" customFormat="1" ht="12.75" customHeight="1">
      <c r="C8" s="19" t="s">
        <v>23</v>
      </c>
      <c r="G8" s="34" t="s">
        <v>24</v>
      </c>
      <c r="I8" s="33">
        <f>I7/G7-1</f>
        <v>0.026968716289104577</v>
      </c>
      <c r="K8" s="33">
        <f>K7/I7-1</f>
        <v>0.05698529411764697</v>
      </c>
      <c r="M8" s="33">
        <f>M7/K7-1</f>
        <v>0.1381366459627329</v>
      </c>
      <c r="O8" s="33">
        <f>O7/M7-1</f>
        <v>0.0216110019646365</v>
      </c>
      <c r="Q8" s="33">
        <f>Q7/O7-1</f>
        <v>0.005341880341880323</v>
      </c>
      <c r="S8" s="35">
        <v>0.01</v>
      </c>
      <c r="U8" s="33">
        <f>S8</f>
        <v>0.01</v>
      </c>
      <c r="X8" s="36"/>
    </row>
    <row r="9" ht="4.5" customHeight="1"/>
    <row r="10" spans="2:21" s="37" customFormat="1" ht="12.75">
      <c r="B10" s="37" t="s">
        <v>25</v>
      </c>
      <c r="G10" s="38">
        <v>182.5</v>
      </c>
      <c r="I10" s="38">
        <v>188.6</v>
      </c>
      <c r="K10" s="38">
        <v>207.7</v>
      </c>
      <c r="M10" s="38">
        <v>239.6</v>
      </c>
      <c r="O10" s="38">
        <v>249.8</v>
      </c>
      <c r="Q10" s="38">
        <v>252.2</v>
      </c>
      <c r="S10" s="39">
        <f>S11*S7</f>
        <v>254.72199999999998</v>
      </c>
      <c r="U10" s="39">
        <f>U11*U7</f>
        <v>257.26921999999996</v>
      </c>
    </row>
    <row r="11" spans="3:24" s="19" customFormat="1" ht="12.75" customHeight="1" thickBot="1">
      <c r="C11" s="19" t="s">
        <v>26</v>
      </c>
      <c r="G11" s="40">
        <f>G10/G7</f>
        <v>0.49217907227615965</v>
      </c>
      <c r="I11" s="40">
        <f>I10/I7</f>
        <v>0.49527310924369744</v>
      </c>
      <c r="K11" s="40">
        <f>K10/K7</f>
        <v>0.5160248447204968</v>
      </c>
      <c r="M11" s="40">
        <f>M10/M7</f>
        <v>0.5230299061340319</v>
      </c>
      <c r="O11" s="40">
        <f>O10/O7</f>
        <v>0.5337606837606838</v>
      </c>
      <c r="Q11" s="40">
        <f>Q10/Q7</f>
        <v>0.5360255047821466</v>
      </c>
      <c r="S11" s="41">
        <f>Q11</f>
        <v>0.5360255047821466</v>
      </c>
      <c r="U11" s="40">
        <f>S11</f>
        <v>0.5360255047821466</v>
      </c>
      <c r="X11" s="36"/>
    </row>
    <row r="12" spans="2:24" ht="12.75">
      <c r="B12" t="s">
        <v>27</v>
      </c>
      <c r="G12" s="42">
        <f>G7-G10</f>
        <v>188.3</v>
      </c>
      <c r="I12" s="42">
        <f>I7-I10</f>
        <v>192.20000000000002</v>
      </c>
      <c r="K12" s="42">
        <f>K7-K10</f>
        <v>194.8</v>
      </c>
      <c r="M12" s="42">
        <f>M7-M10</f>
        <v>218.50000000000003</v>
      </c>
      <c r="O12" s="42">
        <f>O7-O10</f>
        <v>218.2</v>
      </c>
      <c r="Q12" s="42">
        <f>Q7-Q10</f>
        <v>218.3</v>
      </c>
      <c r="S12" s="42">
        <f>S7-S10</f>
        <v>220.483</v>
      </c>
      <c r="U12" s="42">
        <f>U7-U10</f>
        <v>222.68783000000002</v>
      </c>
      <c r="X12" s="33">
        <f>(U12/M12)^(1/(U$5-$M$5))-1</f>
        <v>0.004757508860870674</v>
      </c>
    </row>
    <row r="13" spans="3:24" s="19" customFormat="1" ht="12.75" customHeight="1">
      <c r="C13" s="19" t="s">
        <v>28</v>
      </c>
      <c r="G13" s="40">
        <f>G12/G$7</f>
        <v>0.5078209277238404</v>
      </c>
      <c r="I13" s="40">
        <f>I12/I$7</f>
        <v>0.5047268907563025</v>
      </c>
      <c r="K13" s="40">
        <f>K12/K$7</f>
        <v>0.48397515527950313</v>
      </c>
      <c r="M13" s="40">
        <f>M12/M$7</f>
        <v>0.47697009386596817</v>
      </c>
      <c r="O13" s="40">
        <f>O12/O$7</f>
        <v>0.4662393162393162</v>
      </c>
      <c r="Q13" s="40">
        <f>Q12/Q$7</f>
        <v>0.4639744952178534</v>
      </c>
      <c r="S13" s="40">
        <f>S12/S$7</f>
        <v>0.4639744952178534</v>
      </c>
      <c r="U13" s="40">
        <f>U12/U$7</f>
        <v>0.4639744952178534</v>
      </c>
      <c r="X13" s="36"/>
    </row>
    <row r="14" ht="4.5" customHeight="1"/>
    <row r="15" spans="2:21" s="37" customFormat="1" ht="12.75" customHeight="1">
      <c r="B15" s="37" t="s">
        <v>29</v>
      </c>
      <c r="G15" s="38">
        <v>46.6</v>
      </c>
      <c r="I15" s="43">
        <v>61.9</v>
      </c>
      <c r="K15" s="38">
        <v>74.8</v>
      </c>
      <c r="M15" s="38">
        <v>88.3</v>
      </c>
      <c r="O15" s="38">
        <v>91.7</v>
      </c>
      <c r="Q15" s="38">
        <v>92.4</v>
      </c>
      <c r="S15" s="39">
        <f>S16*S7</f>
        <v>93.324</v>
      </c>
      <c r="U15" s="39">
        <f>U16*U7</f>
        <v>94.25724</v>
      </c>
    </row>
    <row r="16" spans="3:24" s="19" customFormat="1" ht="12.75" customHeight="1">
      <c r="C16" s="19" t="s">
        <v>26</v>
      </c>
      <c r="G16" s="40">
        <f>G15/G$7</f>
        <v>0.1256742179072276</v>
      </c>
      <c r="I16" s="40">
        <f>I15/I$7</f>
        <v>0.16255252100840334</v>
      </c>
      <c r="K16" s="40">
        <f>K15/K$7</f>
        <v>0.18583850931677018</v>
      </c>
      <c r="M16" s="40">
        <f>M15/M$7</f>
        <v>0.19275267408862692</v>
      </c>
      <c r="O16" s="40">
        <f>O15/O$7</f>
        <v>0.19594017094017094</v>
      </c>
      <c r="Q16" s="40">
        <f>Q15/Q$7</f>
        <v>0.19638682252922424</v>
      </c>
      <c r="S16" s="41">
        <f>Q16</f>
        <v>0.19638682252922424</v>
      </c>
      <c r="U16" s="40">
        <f>S16</f>
        <v>0.19638682252922424</v>
      </c>
      <c r="X16" s="36"/>
    </row>
    <row r="17" ht="4.5" customHeight="1"/>
    <row r="18" spans="1:22" ht="4.5" customHeight="1">
      <c r="A18" s="44"/>
      <c r="B18" s="44"/>
      <c r="C18" s="44"/>
      <c r="D18" s="44"/>
      <c r="E18" s="44"/>
      <c r="F18" s="44"/>
      <c r="G18" s="44"/>
      <c r="H18" s="44"/>
      <c r="I18" s="44"/>
      <c r="J18" s="44"/>
      <c r="K18" s="44"/>
      <c r="L18" s="44"/>
      <c r="M18" s="44"/>
      <c r="N18" s="44"/>
      <c r="O18" s="44"/>
      <c r="P18" s="44"/>
      <c r="Q18" s="44"/>
      <c r="R18" s="44"/>
      <c r="S18" s="44"/>
      <c r="T18" s="44"/>
      <c r="U18" s="44"/>
      <c r="V18" s="45"/>
    </row>
    <row r="19" spans="1:24" s="10" customFormat="1" ht="12.75">
      <c r="A19" s="46"/>
      <c r="B19" s="46" t="s">
        <v>30</v>
      </c>
      <c r="C19" s="46"/>
      <c r="D19" s="46"/>
      <c r="E19" s="46"/>
      <c r="F19" s="46"/>
      <c r="G19" s="47">
        <f>G12-G15</f>
        <v>141.70000000000002</v>
      </c>
      <c r="H19" s="46"/>
      <c r="I19" s="47">
        <f>I12-I15</f>
        <v>130.3</v>
      </c>
      <c r="J19" s="46"/>
      <c r="K19" s="47">
        <f>K12-K15</f>
        <v>120.00000000000001</v>
      </c>
      <c r="L19" s="46"/>
      <c r="M19" s="47">
        <f>M12-M15</f>
        <v>130.20000000000005</v>
      </c>
      <c r="N19" s="46"/>
      <c r="O19" s="47">
        <f>O12-O15</f>
        <v>126.49999999999999</v>
      </c>
      <c r="P19" s="46"/>
      <c r="Q19" s="47">
        <f>Q12-Q15</f>
        <v>125.9</v>
      </c>
      <c r="R19" s="46"/>
      <c r="S19" s="47">
        <f>S12-S15</f>
        <v>127.159</v>
      </c>
      <c r="T19" s="46"/>
      <c r="U19" s="47">
        <f>U12-U15</f>
        <v>128.43059000000002</v>
      </c>
      <c r="V19" s="48"/>
      <c r="X19" s="33">
        <f>(U19/M19)^(1/(U$5-$M$5))-1</f>
        <v>-0.003414937546371344</v>
      </c>
    </row>
    <row r="20" spans="1:24" s="19" customFormat="1" ht="12.75" customHeight="1">
      <c r="A20" s="49"/>
      <c r="B20" s="49"/>
      <c r="C20" s="49" t="s">
        <v>28</v>
      </c>
      <c r="D20" s="49"/>
      <c r="E20" s="49"/>
      <c r="F20" s="49"/>
      <c r="G20" s="50">
        <f>G19/G$7</f>
        <v>0.38214670981661275</v>
      </c>
      <c r="H20" s="49"/>
      <c r="I20" s="50">
        <f>I19/I$7</f>
        <v>0.34217436974789917</v>
      </c>
      <c r="J20" s="49"/>
      <c r="K20" s="50">
        <f>K19/K$7</f>
        <v>0.2981366459627329</v>
      </c>
      <c r="L20" s="49"/>
      <c r="M20" s="50">
        <f>M19/M$7</f>
        <v>0.2842174197773413</v>
      </c>
      <c r="N20" s="49"/>
      <c r="O20" s="50">
        <f>O19/O$7</f>
        <v>0.2702991452991453</v>
      </c>
      <c r="P20" s="49"/>
      <c r="Q20" s="50">
        <f>Q19/Q$7</f>
        <v>0.26758767268862915</v>
      </c>
      <c r="R20" s="49"/>
      <c r="S20" s="50">
        <f>S19/S$7</f>
        <v>0.26758767268862915</v>
      </c>
      <c r="T20" s="49"/>
      <c r="U20" s="50">
        <f>U19/U$7</f>
        <v>0.26758767268862915</v>
      </c>
      <c r="V20" s="51"/>
      <c r="X20" s="36"/>
    </row>
    <row r="21" spans="1:22" ht="4.5" customHeight="1">
      <c r="A21" s="6"/>
      <c r="B21" s="6"/>
      <c r="C21" s="6"/>
      <c r="D21" s="6"/>
      <c r="E21" s="6"/>
      <c r="F21" s="6"/>
      <c r="G21" s="6"/>
      <c r="H21" s="6"/>
      <c r="I21" s="6"/>
      <c r="J21" s="6"/>
      <c r="K21" s="6"/>
      <c r="L21" s="6"/>
      <c r="M21" s="6"/>
      <c r="N21" s="6"/>
      <c r="O21" s="6"/>
      <c r="P21" s="6"/>
      <c r="Q21" s="6"/>
      <c r="R21" s="6"/>
      <c r="S21" s="6"/>
      <c r="T21" s="6"/>
      <c r="U21" s="6"/>
      <c r="V21" s="52"/>
    </row>
    <row r="22" spans="1:22" s="37" customFormat="1" ht="12.75" customHeight="1">
      <c r="A22" s="53"/>
      <c r="B22" s="53" t="s">
        <v>31</v>
      </c>
      <c r="C22" s="53"/>
      <c r="D22" s="53"/>
      <c r="E22" s="53"/>
      <c r="F22" s="53"/>
      <c r="G22" s="43">
        <v>14</v>
      </c>
      <c r="H22" s="53"/>
      <c r="I22" s="54">
        <v>11.1</v>
      </c>
      <c r="J22" s="53"/>
      <c r="K22" s="54">
        <v>12.1</v>
      </c>
      <c r="L22" s="53"/>
      <c r="M22" s="54">
        <v>14.1</v>
      </c>
      <c r="N22" s="53"/>
      <c r="O22" s="54">
        <v>14.1</v>
      </c>
      <c r="P22" s="53"/>
      <c r="Q22" s="54">
        <v>14.1</v>
      </c>
      <c r="R22" s="53"/>
      <c r="S22" s="55">
        <f>S23*S7</f>
        <v>14.241</v>
      </c>
      <c r="T22" s="53"/>
      <c r="U22" s="55">
        <f>U23*U7</f>
        <v>14.38341</v>
      </c>
      <c r="V22" s="56"/>
    </row>
    <row r="23" spans="1:24" s="19" customFormat="1" ht="12.75" customHeight="1">
      <c r="A23" s="49"/>
      <c r="B23" s="49"/>
      <c r="C23" s="49" t="s">
        <v>26</v>
      </c>
      <c r="D23" s="49"/>
      <c r="E23" s="49"/>
      <c r="F23" s="49"/>
      <c r="G23" s="50">
        <f>G22/G$7</f>
        <v>0.037756202804746494</v>
      </c>
      <c r="H23" s="49"/>
      <c r="I23" s="50">
        <f>I22/I$7</f>
        <v>0.029149159663865543</v>
      </c>
      <c r="J23" s="49"/>
      <c r="K23" s="50">
        <f>K22/K$7</f>
        <v>0.030062111801242235</v>
      </c>
      <c r="L23" s="49"/>
      <c r="M23" s="50">
        <f>M22/M$7</f>
        <v>0.03077930582842174</v>
      </c>
      <c r="N23" s="49"/>
      <c r="O23" s="50">
        <f>O22/O$7</f>
        <v>0.03012820512820513</v>
      </c>
      <c r="P23" s="49"/>
      <c r="Q23" s="50">
        <f>Q22/Q$7</f>
        <v>0.029968119022316685</v>
      </c>
      <c r="R23" s="49"/>
      <c r="S23" s="57">
        <f>Q23</f>
        <v>0.029968119022316685</v>
      </c>
      <c r="T23" s="49"/>
      <c r="U23" s="50">
        <f>S23</f>
        <v>0.029968119022316685</v>
      </c>
      <c r="V23" s="51"/>
      <c r="X23" s="36"/>
    </row>
    <row r="24" spans="1:22" s="37" customFormat="1" ht="12.75" customHeight="1">
      <c r="A24" s="53"/>
      <c r="B24" s="53" t="s">
        <v>32</v>
      </c>
      <c r="C24" s="53"/>
      <c r="D24" s="53"/>
      <c r="E24" s="53"/>
      <c r="F24" s="53"/>
      <c r="G24" s="43">
        <v>25.7</v>
      </c>
      <c r="H24" s="53"/>
      <c r="I24" s="54">
        <v>18.2</v>
      </c>
      <c r="J24" s="53"/>
      <c r="K24" s="54">
        <v>18.6</v>
      </c>
      <c r="L24" s="53"/>
      <c r="M24" s="54">
        <v>19.6</v>
      </c>
      <c r="N24" s="53"/>
      <c r="O24" s="54">
        <v>19.9</v>
      </c>
      <c r="P24" s="53"/>
      <c r="Q24" s="54">
        <v>20</v>
      </c>
      <c r="R24" s="53"/>
      <c r="S24" s="55">
        <f>Q24</f>
        <v>20</v>
      </c>
      <c r="T24" s="53"/>
      <c r="U24" s="55">
        <f>S24</f>
        <v>20</v>
      </c>
      <c r="V24" s="56"/>
    </row>
    <row r="25" spans="1:24" s="19" customFormat="1" ht="12.75" customHeight="1" thickBot="1">
      <c r="A25" s="49"/>
      <c r="B25" s="49"/>
      <c r="C25" s="49" t="s">
        <v>26</v>
      </c>
      <c r="D25" s="49"/>
      <c r="E25" s="49"/>
      <c r="F25" s="49"/>
      <c r="G25" s="50">
        <f>G24/G$7</f>
        <v>0.06930960086299892</v>
      </c>
      <c r="H25" s="49"/>
      <c r="I25" s="50">
        <f>I24/I$7</f>
        <v>0.04779411764705882</v>
      </c>
      <c r="J25" s="49"/>
      <c r="K25" s="50">
        <f>K24/K$7</f>
        <v>0.04621118012422361</v>
      </c>
      <c r="L25" s="49"/>
      <c r="M25" s="50">
        <f>M24/M$7</f>
        <v>0.0427854180309976</v>
      </c>
      <c r="N25" s="49"/>
      <c r="O25" s="50">
        <f>O24/O$7</f>
        <v>0.042521367521367516</v>
      </c>
      <c r="P25" s="49"/>
      <c r="Q25" s="50">
        <f>Q24/Q$7</f>
        <v>0.04250797024442083</v>
      </c>
      <c r="R25" s="49"/>
      <c r="S25" s="50">
        <f>S24/S$7</f>
        <v>0.042087099251901815</v>
      </c>
      <c r="T25" s="49"/>
      <c r="U25" s="50">
        <f>U24/U$7</f>
        <v>0.041670395298912685</v>
      </c>
      <c r="V25" s="51"/>
      <c r="X25" s="36"/>
    </row>
    <row r="26" spans="1:22" ht="12.75">
      <c r="A26" s="6"/>
      <c r="B26" s="6" t="s">
        <v>33</v>
      </c>
      <c r="C26" s="6"/>
      <c r="D26" s="6"/>
      <c r="E26" s="6"/>
      <c r="F26" s="6"/>
      <c r="G26" s="78">
        <f>G24+G22</f>
        <v>39.7</v>
      </c>
      <c r="H26" s="79"/>
      <c r="I26" s="78">
        <f>I24+I22</f>
        <v>29.299999999999997</v>
      </c>
      <c r="J26" s="79"/>
      <c r="K26" s="78">
        <f>K24+K22</f>
        <v>30.700000000000003</v>
      </c>
      <c r="L26" s="79"/>
      <c r="M26" s="78">
        <f>M24+M22</f>
        <v>33.7</v>
      </c>
      <c r="N26" s="79"/>
      <c r="O26" s="78">
        <f>O24+O22</f>
        <v>34</v>
      </c>
      <c r="P26" s="79"/>
      <c r="Q26" s="78">
        <f>Q24+Q22</f>
        <v>34.1</v>
      </c>
      <c r="R26" s="79"/>
      <c r="S26" s="78">
        <f>S24+S22</f>
        <v>34.241</v>
      </c>
      <c r="T26" s="79"/>
      <c r="U26" s="78">
        <f>U24+U22</f>
        <v>34.38341</v>
      </c>
      <c r="V26" s="52"/>
    </row>
    <row r="27" spans="1:24" s="19" customFormat="1" ht="12.75" customHeight="1">
      <c r="A27" s="49"/>
      <c r="B27" s="49"/>
      <c r="C27" s="49" t="s">
        <v>26</v>
      </c>
      <c r="D27" s="49"/>
      <c r="E27" s="49"/>
      <c r="F27" s="49"/>
      <c r="G27" s="50">
        <f>G26/G$7</f>
        <v>0.10706580366774542</v>
      </c>
      <c r="H27" s="49"/>
      <c r="I27" s="50">
        <f>I26/I$7</f>
        <v>0.07694327731092436</v>
      </c>
      <c r="J27" s="49"/>
      <c r="K27" s="50">
        <f>K26/K$7</f>
        <v>0.07627329192546585</v>
      </c>
      <c r="L27" s="49"/>
      <c r="M27" s="50">
        <f>M26/M$7</f>
        <v>0.07356472385941934</v>
      </c>
      <c r="N27" s="49"/>
      <c r="O27" s="50">
        <f>O26/O$7</f>
        <v>0.07264957264957266</v>
      </c>
      <c r="P27" s="49"/>
      <c r="Q27" s="50">
        <f>Q26/Q$7</f>
        <v>0.07247608926673751</v>
      </c>
      <c r="R27" s="49"/>
      <c r="S27" s="50">
        <f>S26/S$7</f>
        <v>0.0720552182742185</v>
      </c>
      <c r="T27" s="49"/>
      <c r="U27" s="50">
        <f>U26/U$7</f>
        <v>0.07163851432122936</v>
      </c>
      <c r="V27" s="51"/>
      <c r="X27" s="36"/>
    </row>
    <row r="28" spans="1:22" ht="4.5" customHeight="1">
      <c r="A28" s="6"/>
      <c r="B28" s="6"/>
      <c r="C28" s="6"/>
      <c r="D28" s="6"/>
      <c r="E28" s="6"/>
      <c r="F28" s="6"/>
      <c r="G28" s="6"/>
      <c r="H28" s="6"/>
      <c r="I28" s="6"/>
      <c r="J28" s="6"/>
      <c r="K28" s="6"/>
      <c r="L28" s="6"/>
      <c r="M28" s="6"/>
      <c r="N28" s="6"/>
      <c r="O28" s="6"/>
      <c r="P28" s="6"/>
      <c r="Q28" s="6"/>
      <c r="R28" s="6"/>
      <c r="S28" s="6"/>
      <c r="T28" s="6"/>
      <c r="U28" s="6"/>
      <c r="V28" s="52"/>
    </row>
    <row r="29" spans="1:22" s="37" customFormat="1" ht="12.75">
      <c r="A29" s="53"/>
      <c r="B29" s="53" t="s">
        <v>34</v>
      </c>
      <c r="C29" s="53"/>
      <c r="D29" s="53"/>
      <c r="E29" s="53"/>
      <c r="F29" s="53"/>
      <c r="G29" s="54">
        <v>16.5</v>
      </c>
      <c r="H29" s="53"/>
      <c r="I29" s="54">
        <v>13.4</v>
      </c>
      <c r="J29" s="53"/>
      <c r="K29" s="54">
        <v>11.3</v>
      </c>
      <c r="L29" s="53"/>
      <c r="M29" s="54">
        <v>10.8</v>
      </c>
      <c r="N29" s="53"/>
      <c r="O29" s="54">
        <v>10.6</v>
      </c>
      <c r="P29" s="53"/>
      <c r="Q29" s="54">
        <v>10.7</v>
      </c>
      <c r="R29" s="53"/>
      <c r="S29" s="55">
        <f>S30*S7</f>
        <v>10.806999999999999</v>
      </c>
      <c r="T29" s="53"/>
      <c r="U29" s="55">
        <f>U30*U7</f>
        <v>10.915069999999998</v>
      </c>
      <c r="V29" s="56"/>
    </row>
    <row r="30" spans="1:24" s="19" customFormat="1" ht="12.75" customHeight="1">
      <c r="A30" s="49"/>
      <c r="B30" s="49"/>
      <c r="C30" s="49" t="s">
        <v>26</v>
      </c>
      <c r="D30" s="49"/>
      <c r="E30" s="49"/>
      <c r="F30" s="49"/>
      <c r="G30" s="50">
        <f>G29/G$7</f>
        <v>0.04449838187702265</v>
      </c>
      <c r="H30" s="49"/>
      <c r="I30" s="50">
        <f>I29/I$7</f>
        <v>0.0351890756302521</v>
      </c>
      <c r="J30" s="49"/>
      <c r="K30" s="50">
        <f>K29/K$7</f>
        <v>0.028074534161490684</v>
      </c>
      <c r="L30" s="49"/>
      <c r="M30" s="50">
        <f>M29/M$7</f>
        <v>0.023575638506876228</v>
      </c>
      <c r="N30" s="49"/>
      <c r="O30" s="50">
        <f>O29/O$7</f>
        <v>0.02264957264957265</v>
      </c>
      <c r="P30" s="49"/>
      <c r="Q30" s="50">
        <f>Q29/Q$7</f>
        <v>0.022741764080765142</v>
      </c>
      <c r="R30" s="49"/>
      <c r="S30" s="57">
        <f>Q30</f>
        <v>0.022741764080765142</v>
      </c>
      <c r="T30" s="49"/>
      <c r="U30" s="50">
        <f>S30</f>
        <v>0.022741764080765142</v>
      </c>
      <c r="V30" s="51"/>
      <c r="X30" s="36"/>
    </row>
    <row r="31" spans="1:22" ht="4.5" customHeight="1">
      <c r="A31" s="6"/>
      <c r="B31" s="6"/>
      <c r="C31" s="6"/>
      <c r="D31" s="6"/>
      <c r="E31" s="6"/>
      <c r="F31" s="6"/>
      <c r="G31" s="6"/>
      <c r="H31" s="6"/>
      <c r="I31" s="6"/>
      <c r="J31" s="6"/>
      <c r="K31" s="6"/>
      <c r="L31" s="6"/>
      <c r="M31" s="6"/>
      <c r="N31" s="6"/>
      <c r="O31" s="6"/>
      <c r="P31" s="6"/>
      <c r="Q31" s="6"/>
      <c r="R31" s="6"/>
      <c r="S31" s="6"/>
      <c r="T31" s="6"/>
      <c r="U31" s="6"/>
      <c r="V31" s="52"/>
    </row>
    <row r="32" spans="1:24" s="10" customFormat="1" ht="12.75">
      <c r="A32" s="46"/>
      <c r="B32" s="46" t="s">
        <v>35</v>
      </c>
      <c r="C32" s="46"/>
      <c r="D32" s="46"/>
      <c r="E32" s="46"/>
      <c r="F32" s="46"/>
      <c r="G32" s="47">
        <f>G19-G26-G29</f>
        <v>85.50000000000001</v>
      </c>
      <c r="H32" s="46"/>
      <c r="I32" s="47">
        <f>I19-I26-I29</f>
        <v>87.60000000000001</v>
      </c>
      <c r="J32" s="46"/>
      <c r="K32" s="47">
        <f>K19-K26-K29</f>
        <v>78.00000000000001</v>
      </c>
      <c r="L32" s="46"/>
      <c r="M32" s="47">
        <f>M19-M26-M29</f>
        <v>85.70000000000005</v>
      </c>
      <c r="N32" s="46"/>
      <c r="O32" s="47">
        <f>O19-O26-O29</f>
        <v>81.89999999999999</v>
      </c>
      <c r="P32" s="46"/>
      <c r="Q32" s="47">
        <f>Q19-Q26-Q29</f>
        <v>81.10000000000001</v>
      </c>
      <c r="R32" s="46"/>
      <c r="S32" s="47">
        <f>S19-S26-S29</f>
        <v>82.111</v>
      </c>
      <c r="T32" s="46"/>
      <c r="U32" s="47">
        <f>U19-U26-U29</f>
        <v>83.13211000000003</v>
      </c>
      <c r="V32" s="48"/>
      <c r="X32" s="33">
        <f>(U32/M32)^(1/(U$5-$M$5))-1</f>
        <v>-0.0075766008655852035</v>
      </c>
    </row>
    <row r="33" spans="1:24" s="19" customFormat="1" ht="12.75" customHeight="1">
      <c r="A33" s="49"/>
      <c r="B33" s="49"/>
      <c r="C33" s="49" t="s">
        <v>28</v>
      </c>
      <c r="D33" s="49"/>
      <c r="E33" s="49"/>
      <c r="F33" s="49"/>
      <c r="G33" s="50">
        <f>G32/G$7</f>
        <v>0.2305825242718447</v>
      </c>
      <c r="H33" s="49"/>
      <c r="I33" s="50">
        <f>I32/I$7</f>
        <v>0.2300420168067227</v>
      </c>
      <c r="J33" s="49"/>
      <c r="K33" s="50">
        <f>K32/K$7</f>
        <v>0.19378881987577642</v>
      </c>
      <c r="L33" s="49"/>
      <c r="M33" s="50">
        <f>M32/M$7</f>
        <v>0.18707705741104572</v>
      </c>
      <c r="N33" s="49"/>
      <c r="O33" s="50">
        <f>O32/O$7</f>
        <v>0.175</v>
      </c>
      <c r="P33" s="49"/>
      <c r="Q33" s="50">
        <f>Q32/Q$7</f>
        <v>0.17236981934112647</v>
      </c>
      <c r="R33" s="49"/>
      <c r="S33" s="50">
        <f>S32/S$7</f>
        <v>0.1727906903336455</v>
      </c>
      <c r="T33" s="49"/>
      <c r="U33" s="50">
        <f>U32/U$7</f>
        <v>0.17320739428663467</v>
      </c>
      <c r="V33" s="51"/>
      <c r="X33" s="36"/>
    </row>
    <row r="34" spans="1:22" ht="4.5" customHeight="1">
      <c r="A34" s="6"/>
      <c r="B34" s="6"/>
      <c r="C34" s="6"/>
      <c r="D34" s="6"/>
      <c r="E34" s="6"/>
      <c r="F34" s="6"/>
      <c r="G34" s="6"/>
      <c r="H34" s="6"/>
      <c r="I34" s="6"/>
      <c r="J34" s="6"/>
      <c r="K34" s="6"/>
      <c r="L34" s="6"/>
      <c r="M34" s="6"/>
      <c r="N34" s="6"/>
      <c r="O34" s="6"/>
      <c r="P34" s="6"/>
      <c r="Q34" s="6"/>
      <c r="R34" s="6"/>
      <c r="S34" s="6"/>
      <c r="T34" s="6"/>
      <c r="U34" s="6"/>
      <c r="V34" s="52"/>
    </row>
    <row r="35" spans="1:24" s="10" customFormat="1" ht="12.75">
      <c r="A35" s="46"/>
      <c r="B35" s="46" t="s">
        <v>36</v>
      </c>
      <c r="C35" s="46"/>
      <c r="D35" s="46"/>
      <c r="E35" s="46"/>
      <c r="F35" s="46"/>
      <c r="G35" s="47">
        <f>G32+G24+G29</f>
        <v>127.70000000000002</v>
      </c>
      <c r="H35" s="46"/>
      <c r="I35" s="47">
        <f>I32+I24+I29</f>
        <v>119.20000000000002</v>
      </c>
      <c r="J35" s="46"/>
      <c r="K35" s="47">
        <f>K32+K24+K29</f>
        <v>107.90000000000002</v>
      </c>
      <c r="L35" s="46"/>
      <c r="M35" s="47">
        <f>M32+M24+M29</f>
        <v>116.10000000000004</v>
      </c>
      <c r="N35" s="46"/>
      <c r="O35" s="47">
        <f>O32+O24+O29</f>
        <v>112.39999999999998</v>
      </c>
      <c r="P35" s="46"/>
      <c r="Q35" s="47">
        <f>Q32+Q24+Q29</f>
        <v>111.80000000000001</v>
      </c>
      <c r="R35" s="46"/>
      <c r="S35" s="47">
        <f>S32+S24+S29</f>
        <v>112.918</v>
      </c>
      <c r="T35" s="46"/>
      <c r="U35" s="47">
        <f>U32+U24+U29</f>
        <v>114.04718000000003</v>
      </c>
      <c r="V35" s="48"/>
      <c r="X35" s="33">
        <f>(U35/M35)^(1/(U$5-$M$5))-1</f>
        <v>-0.004449985910014886</v>
      </c>
    </row>
    <row r="36" spans="1:24" s="19" customFormat="1" ht="12.75" customHeight="1">
      <c r="A36" s="49"/>
      <c r="B36" s="49"/>
      <c r="C36" s="49" t="s">
        <v>28</v>
      </c>
      <c r="D36" s="49"/>
      <c r="E36" s="49"/>
      <c r="F36" s="49"/>
      <c r="G36" s="50">
        <f>G35/G$7</f>
        <v>0.3443905070118663</v>
      </c>
      <c r="H36" s="49"/>
      <c r="I36" s="50">
        <f>I35/I$7</f>
        <v>0.31302521008403367</v>
      </c>
      <c r="J36" s="49"/>
      <c r="K36" s="50">
        <f>K35/K$7</f>
        <v>0.26807453416149074</v>
      </c>
      <c r="L36" s="49"/>
      <c r="M36" s="50">
        <f>M35/M$7</f>
        <v>0.2534381139489195</v>
      </c>
      <c r="N36" s="49"/>
      <c r="O36" s="50">
        <f>O35/O$7</f>
        <v>0.24017094017094012</v>
      </c>
      <c r="P36" s="49"/>
      <c r="Q36" s="50">
        <f>Q35/Q$7</f>
        <v>0.23761955366631246</v>
      </c>
      <c r="R36" s="49"/>
      <c r="S36" s="50">
        <f>S35/S$7</f>
        <v>0.23761955366631246</v>
      </c>
      <c r="T36" s="49"/>
      <c r="U36" s="50">
        <f>U35/U$7</f>
        <v>0.2376195536663125</v>
      </c>
      <c r="V36" s="51"/>
      <c r="X36" s="36"/>
    </row>
    <row r="37" spans="1:22" ht="4.5" customHeight="1">
      <c r="A37" s="58"/>
      <c r="B37" s="58"/>
      <c r="C37" s="58"/>
      <c r="D37" s="58"/>
      <c r="E37" s="58"/>
      <c r="F37" s="58"/>
      <c r="G37" s="58"/>
      <c r="H37" s="58"/>
      <c r="I37" s="58"/>
      <c r="J37" s="58"/>
      <c r="K37" s="58"/>
      <c r="L37" s="58"/>
      <c r="M37" s="58"/>
      <c r="N37" s="58"/>
      <c r="O37" s="58"/>
      <c r="P37" s="58"/>
      <c r="Q37" s="58"/>
      <c r="R37" s="58"/>
      <c r="S37" s="58"/>
      <c r="T37" s="58"/>
      <c r="U37" s="58"/>
      <c r="V37" s="59"/>
    </row>
    <row r="38" ht="4.5" customHeight="1">
      <c r="C38" s="60"/>
    </row>
    <row r="39" spans="2:21" s="37" customFormat="1" ht="12.75">
      <c r="B39" s="37" t="s">
        <v>37</v>
      </c>
      <c r="G39" s="38">
        <v>4.9</v>
      </c>
      <c r="I39" s="38">
        <v>0.9</v>
      </c>
      <c r="K39" s="61">
        <v>0</v>
      </c>
      <c r="M39" s="38">
        <v>-2.4</v>
      </c>
      <c r="O39" s="61">
        <v>0</v>
      </c>
      <c r="P39" s="5"/>
      <c r="Q39" s="61">
        <v>0</v>
      </c>
      <c r="S39" s="62">
        <f>Q39</f>
        <v>0</v>
      </c>
      <c r="T39" s="63"/>
      <c r="U39" s="62">
        <f>S39</f>
        <v>0</v>
      </c>
    </row>
    <row r="40" spans="2:21" ht="12.75">
      <c r="B40" t="s">
        <v>38</v>
      </c>
      <c r="G40" s="61">
        <v>0</v>
      </c>
      <c r="I40" s="61">
        <v>0</v>
      </c>
      <c r="K40" s="61">
        <v>0</v>
      </c>
      <c r="M40" s="61">
        <v>0</v>
      </c>
      <c r="O40" s="61">
        <v>0</v>
      </c>
      <c r="Q40" s="61">
        <v>0</v>
      </c>
      <c r="S40" s="62">
        <f>Q40</f>
        <v>0</v>
      </c>
      <c r="T40" s="63"/>
      <c r="U40" s="62">
        <f>S40</f>
        <v>0</v>
      </c>
    </row>
    <row r="41" spans="2:21" ht="12.75">
      <c r="B41" t="s">
        <v>39</v>
      </c>
      <c r="G41" s="61">
        <v>0</v>
      </c>
      <c r="I41" s="61">
        <v>0</v>
      </c>
      <c r="K41" s="61">
        <v>0</v>
      </c>
      <c r="M41" s="61">
        <v>0</v>
      </c>
      <c r="O41" s="61">
        <v>0</v>
      </c>
      <c r="Q41" s="61">
        <v>0</v>
      </c>
      <c r="S41" s="62">
        <f>Q41</f>
        <v>0</v>
      </c>
      <c r="T41" s="63"/>
      <c r="U41" s="62">
        <f>S41</f>
        <v>0</v>
      </c>
    </row>
    <row r="42" spans="2:21" s="37" customFormat="1" ht="13.5" customHeight="1" thickBot="1">
      <c r="B42" s="37" t="s">
        <v>40</v>
      </c>
      <c r="G42" s="38">
        <v>0.1</v>
      </c>
      <c r="I42" s="61">
        <v>0</v>
      </c>
      <c r="K42" s="61">
        <v>0</v>
      </c>
      <c r="M42" s="64">
        <v>-0.1</v>
      </c>
      <c r="N42" s="5"/>
      <c r="O42" s="61">
        <v>0</v>
      </c>
      <c r="P42" s="5"/>
      <c r="Q42" s="61">
        <v>0</v>
      </c>
      <c r="R42" s="5"/>
      <c r="S42" s="62">
        <f>Q42</f>
        <v>0</v>
      </c>
      <c r="T42" s="65"/>
      <c r="U42" s="62">
        <f>S42</f>
        <v>0</v>
      </c>
    </row>
    <row r="43" spans="2:24" ht="12.75">
      <c r="B43" t="s">
        <v>41</v>
      </c>
      <c r="G43" s="42">
        <f>G35-SUM(G39:G42)</f>
        <v>122.70000000000002</v>
      </c>
      <c r="I43" s="42">
        <f>I35-SUM(I39:I42)</f>
        <v>118.30000000000001</v>
      </c>
      <c r="K43" s="42">
        <f>K35-SUM(K39:K42)</f>
        <v>107.90000000000002</v>
      </c>
      <c r="L43" s="66"/>
      <c r="M43" s="42">
        <f>M35-SUM(M39:M42)</f>
        <v>118.60000000000004</v>
      </c>
      <c r="O43" s="42">
        <f>O35-SUM(O39:O42)</f>
        <v>112.39999999999998</v>
      </c>
      <c r="Q43" s="42">
        <f>Q35-SUM(Q39:Q42)</f>
        <v>111.80000000000001</v>
      </c>
      <c r="R43" s="66"/>
      <c r="S43" s="42">
        <f>S35-SUM(S39:S42)</f>
        <v>112.918</v>
      </c>
      <c r="U43" s="42">
        <f>U35-SUM(U39:U42)</f>
        <v>114.04718000000003</v>
      </c>
      <c r="X43" s="33">
        <f>(U43/M43)^(1/(U$5-$M$5))-1</f>
        <v>-0.009738338305643857</v>
      </c>
    </row>
    <row r="44" ht="4.5" customHeight="1"/>
    <row r="45" spans="2:24" s="37" customFormat="1" ht="12.75">
      <c r="B45" s="37" t="s">
        <v>42</v>
      </c>
      <c r="G45" s="39">
        <f>G46*G43</f>
        <v>42.945</v>
      </c>
      <c r="I45" s="39">
        <f>I46*I43</f>
        <v>41.405</v>
      </c>
      <c r="K45" s="39">
        <f>K46*K43</f>
        <v>37.76500000000001</v>
      </c>
      <c r="M45" s="39">
        <f>M46*M43</f>
        <v>41.51000000000001</v>
      </c>
      <c r="O45" s="39">
        <f>O46*O43</f>
        <v>39.33999999999999</v>
      </c>
      <c r="Q45" s="39">
        <f>Q46*Q43</f>
        <v>39.13</v>
      </c>
      <c r="S45" s="39">
        <f>S46*S43</f>
        <v>39.5213</v>
      </c>
      <c r="U45" s="39">
        <f>U46*U43</f>
        <v>39.91651300000001</v>
      </c>
      <c r="X45" s="5"/>
    </row>
    <row r="46" spans="3:24" s="19" customFormat="1" ht="12.75" customHeight="1" thickBot="1">
      <c r="C46" s="19" t="s">
        <v>43</v>
      </c>
      <c r="G46" s="35">
        <v>0.35</v>
      </c>
      <c r="I46" s="67">
        <f>G46</f>
        <v>0.35</v>
      </c>
      <c r="K46" s="67">
        <f>I46</f>
        <v>0.35</v>
      </c>
      <c r="M46" s="67">
        <f>K46</f>
        <v>0.35</v>
      </c>
      <c r="O46" s="67">
        <f>M46</f>
        <v>0.35</v>
      </c>
      <c r="Q46" s="67">
        <f>O46</f>
        <v>0.35</v>
      </c>
      <c r="S46" s="67">
        <f>Q46</f>
        <v>0.35</v>
      </c>
      <c r="U46" s="67">
        <f>S46</f>
        <v>0.35</v>
      </c>
      <c r="X46" s="37"/>
    </row>
    <row r="47" spans="7:24" ht="4.5" customHeight="1">
      <c r="G47" s="42"/>
      <c r="I47" s="42"/>
      <c r="K47" s="42"/>
      <c r="M47" s="42"/>
      <c r="O47" s="42"/>
      <c r="Q47" s="42"/>
      <c r="S47" s="42"/>
      <c r="U47" s="42"/>
      <c r="X47" s="36"/>
    </row>
    <row r="48" spans="2:24" s="10" customFormat="1" ht="12.75">
      <c r="B48" s="10" t="s">
        <v>44</v>
      </c>
      <c r="G48" s="32">
        <f>G43-G45</f>
        <v>79.75500000000002</v>
      </c>
      <c r="H48" s="32"/>
      <c r="I48" s="32">
        <f>I43-I45</f>
        <v>76.89500000000001</v>
      </c>
      <c r="K48" s="32">
        <f>K43-K45</f>
        <v>70.13500000000002</v>
      </c>
      <c r="M48" s="32">
        <f>M43-M45</f>
        <v>77.09000000000003</v>
      </c>
      <c r="O48" s="32">
        <f>O43-O45</f>
        <v>73.05999999999999</v>
      </c>
      <c r="Q48" s="32">
        <f>Q43-Q45</f>
        <v>72.67000000000002</v>
      </c>
      <c r="S48" s="32">
        <f>S43-S45</f>
        <v>73.39670000000001</v>
      </c>
      <c r="U48" s="32">
        <f>U43-U45</f>
        <v>74.13066700000002</v>
      </c>
      <c r="X48" s="33">
        <f>(U48/M48)^(1/(U$5-$M$5))-1</f>
        <v>-0.009738338305643857</v>
      </c>
    </row>
    <row r="49" spans="3:21" s="19" customFormat="1" ht="12.75" customHeight="1">
      <c r="C49" s="19" t="s">
        <v>28</v>
      </c>
      <c r="G49" s="40">
        <f>G48/G$7</f>
        <v>0.2150889967637541</v>
      </c>
      <c r="I49" s="40">
        <f>I48/I$7</f>
        <v>0.20193014705882356</v>
      </c>
      <c r="K49" s="40">
        <f>K48/K$7</f>
        <v>0.174248447204969</v>
      </c>
      <c r="M49" s="40">
        <f>M48/M$7</f>
        <v>0.16828203449028603</v>
      </c>
      <c r="O49" s="40">
        <f>O48/O$7</f>
        <v>0.1561111111111111</v>
      </c>
      <c r="Q49" s="40">
        <f>Q48/Q$7</f>
        <v>0.1544527098831031</v>
      </c>
      <c r="S49" s="40">
        <f>S48/S$7</f>
        <v>0.1544527098831031</v>
      </c>
      <c r="U49" s="40">
        <f>U48/U$7</f>
        <v>0.1544527098831031</v>
      </c>
    </row>
    <row r="50" ht="4.5" customHeight="1">
      <c r="X50" s="36"/>
    </row>
    <row r="51" spans="1:24" s="10" customFormat="1" ht="12.75">
      <c r="A51" s="68"/>
      <c r="B51" s="68" t="s">
        <v>45</v>
      </c>
      <c r="C51" s="68"/>
      <c r="D51" s="68"/>
      <c r="E51" s="68"/>
      <c r="F51" s="68"/>
      <c r="G51" s="69">
        <f>G48/G53</f>
        <v>2.2745550992470918</v>
      </c>
      <c r="H51" s="68"/>
      <c r="I51" s="69">
        <f>I48/I53</f>
        <v>2.269628099173554</v>
      </c>
      <c r="J51" s="68"/>
      <c r="K51" s="69">
        <f>K48/K53</f>
        <v>1.971191680719506</v>
      </c>
      <c r="L51" s="68"/>
      <c r="M51" s="69">
        <f>M48/M53</f>
        <v>2.136640798226165</v>
      </c>
      <c r="N51" s="68"/>
      <c r="O51" s="69">
        <f>O48/O53</f>
        <v>1.997266265718972</v>
      </c>
      <c r="P51" s="68"/>
      <c r="Q51" s="69">
        <f>Q48/Q53</f>
        <v>1.9866047020229638</v>
      </c>
      <c r="R51" s="68"/>
      <c r="S51" s="69">
        <f>S48/S53</f>
        <v>2.0064707490431934</v>
      </c>
      <c r="T51" s="68"/>
      <c r="U51" s="69">
        <f>U48/U53</f>
        <v>2.0265354565336255</v>
      </c>
      <c r="V51" s="70"/>
      <c r="X51" s="33">
        <f>(U51/M51)^(1/(U$5-$M$5))-1</f>
        <v>-0.01313971321355989</v>
      </c>
    </row>
    <row r="52" ht="4.5" customHeight="1"/>
    <row r="53" spans="2:21" ht="12.75">
      <c r="B53" t="s">
        <v>46</v>
      </c>
      <c r="G53" s="71">
        <v>35.064</v>
      </c>
      <c r="H53" s="71"/>
      <c r="I53" s="71">
        <v>33.88</v>
      </c>
      <c r="J53" s="71"/>
      <c r="K53" s="71">
        <v>35.58</v>
      </c>
      <c r="L53" s="71"/>
      <c r="M53" s="71">
        <v>36.08</v>
      </c>
      <c r="N53" s="71"/>
      <c r="O53" s="71">
        <v>36.58</v>
      </c>
      <c r="P53" s="71"/>
      <c r="Q53" s="71">
        <v>36.58</v>
      </c>
      <c r="R53" s="72"/>
      <c r="S53" s="73">
        <f>Q53</f>
        <v>36.58</v>
      </c>
      <c r="T53" s="73"/>
      <c r="U53" s="73">
        <f>S53</f>
        <v>36.58</v>
      </c>
    </row>
    <row r="55" ht="12.75">
      <c r="B55" s="10" t="s">
        <v>47</v>
      </c>
    </row>
    <row r="56" spans="3:21" ht="12.75">
      <c r="C56" t="s">
        <v>32</v>
      </c>
      <c r="G56" s="74">
        <f>G24*(1-G46)</f>
        <v>16.705000000000002</v>
      </c>
      <c r="I56" s="74">
        <f>I24*(1-I46)</f>
        <v>11.83</v>
      </c>
      <c r="K56" s="74">
        <f>K24*(1-K46)</f>
        <v>12.090000000000002</v>
      </c>
      <c r="M56" s="74">
        <f>M24*(1-M46)</f>
        <v>12.740000000000002</v>
      </c>
      <c r="O56" s="74">
        <f>O24*(1-O46)</f>
        <v>12.934999999999999</v>
      </c>
      <c r="Q56" s="74">
        <f>Q24*(1-Q46)</f>
        <v>13</v>
      </c>
      <c r="S56" s="74">
        <f>S24*(1-S46)</f>
        <v>13</v>
      </c>
      <c r="U56" s="74">
        <f>U24*(1-U46)</f>
        <v>13</v>
      </c>
    </row>
    <row r="57" spans="3:21" ht="12.75">
      <c r="C57" t="s">
        <v>34</v>
      </c>
      <c r="G57" s="39">
        <f>G29*(1-G46)</f>
        <v>10.725</v>
      </c>
      <c r="I57" s="39">
        <f>I29*(1-I46)</f>
        <v>8.71</v>
      </c>
      <c r="K57" s="39">
        <f>K29*(1-K46)</f>
        <v>7.345000000000001</v>
      </c>
      <c r="M57" s="39">
        <f>M29*(1-M46)</f>
        <v>7.0200000000000005</v>
      </c>
      <c r="O57" s="39">
        <f>O29*(1-O46)</f>
        <v>6.89</v>
      </c>
      <c r="Q57" s="39">
        <f>Q29*(1-Q46)</f>
        <v>6.955</v>
      </c>
      <c r="S57" s="39">
        <f>S29*(1-S46)</f>
        <v>7.02455</v>
      </c>
      <c r="U57" s="39">
        <f>U29*(1-U46)</f>
        <v>7.094795499999999</v>
      </c>
    </row>
    <row r="58" spans="3:21" ht="13.5" customHeight="1" thickBot="1">
      <c r="C58" t="s">
        <v>48</v>
      </c>
      <c r="G58" s="38">
        <v>8.2</v>
      </c>
      <c r="I58" s="38">
        <v>3.4</v>
      </c>
      <c r="K58" s="38">
        <v>0.7</v>
      </c>
      <c r="M58" s="64">
        <v>0.1</v>
      </c>
      <c r="N58" s="63"/>
      <c r="O58" s="61">
        <v>0</v>
      </c>
      <c r="P58" s="63"/>
      <c r="Q58" s="61">
        <v>0</v>
      </c>
      <c r="R58" s="63"/>
      <c r="S58" s="62">
        <f>Q58</f>
        <v>0</v>
      </c>
      <c r="T58" s="63"/>
      <c r="U58" s="62">
        <f>S58</f>
        <v>0</v>
      </c>
    </row>
    <row r="59" spans="7:21" ht="4.5" customHeight="1">
      <c r="G59" s="42"/>
      <c r="I59" s="42"/>
      <c r="K59" s="42"/>
      <c r="M59" s="42"/>
      <c r="O59" s="75"/>
      <c r="Q59" s="75"/>
      <c r="S59" s="75"/>
      <c r="U59" s="75"/>
    </row>
    <row r="60" spans="2:24" s="10" customFormat="1" ht="12.75">
      <c r="B60" s="10" t="s">
        <v>49</v>
      </c>
      <c r="G60" s="32">
        <f>G48-SUM(G56:G58)</f>
        <v>44.12500000000003</v>
      </c>
      <c r="I60" s="32">
        <f>I48-SUM(I56:I58)</f>
        <v>52.95500000000001</v>
      </c>
      <c r="K60" s="32">
        <f>K48-SUM(K56:K58)</f>
        <v>50.000000000000014</v>
      </c>
      <c r="M60" s="32">
        <f>M48-SUM(M56:M58)</f>
        <v>57.23000000000003</v>
      </c>
      <c r="O60" s="32">
        <f>O48-SUM(O56:O58)</f>
        <v>53.234999999999985</v>
      </c>
      <c r="Q60" s="32">
        <f>Q48-SUM(Q56:Q58)</f>
        <v>52.71500000000002</v>
      </c>
      <c r="S60" s="32">
        <f>S48-SUM(S56:S58)</f>
        <v>53.37215000000001</v>
      </c>
      <c r="U60" s="32">
        <f>U48-SUM(U56:U58)</f>
        <v>54.03587150000001</v>
      </c>
      <c r="X60" s="33">
        <f>(U60/M60)^(1/(U$5-$M$5))-1</f>
        <v>-0.014254953002548976</v>
      </c>
    </row>
    <row r="61" spans="3:21" s="19" customFormat="1" ht="12.75" customHeight="1">
      <c r="C61" s="19" t="s">
        <v>28</v>
      </c>
      <c r="G61" s="40">
        <f>G60/G$7</f>
        <v>0.11899946062567429</v>
      </c>
      <c r="I61" s="40">
        <f>I60/I$7</f>
        <v>0.13906250000000003</v>
      </c>
      <c r="K61" s="40">
        <f>K60/K$7</f>
        <v>0.12422360248447209</v>
      </c>
      <c r="M61" s="40">
        <f>M60/M$7</f>
        <v>0.1249290547915303</v>
      </c>
      <c r="O61" s="40">
        <f>O60/O$7</f>
        <v>0.11374999999999996</v>
      </c>
      <c r="Q61" s="40">
        <f>Q60/Q$7</f>
        <v>0.11204038257173224</v>
      </c>
      <c r="S61" s="40">
        <f>S60/S$7</f>
        <v>0.11231394871686959</v>
      </c>
      <c r="U61" s="40">
        <f>U60/U$7</f>
        <v>0.11258480628631252</v>
      </c>
    </row>
    <row r="62" ht="4.5" customHeight="1">
      <c r="X62" s="36"/>
    </row>
    <row r="63" spans="1:24" ht="12.75">
      <c r="A63" s="68"/>
      <c r="B63" s="68" t="s">
        <v>50</v>
      </c>
      <c r="C63" s="68"/>
      <c r="D63" s="68"/>
      <c r="E63" s="68"/>
      <c r="F63" s="68"/>
      <c r="G63" s="69">
        <f>G60/G53</f>
        <v>1.2584131873146256</v>
      </c>
      <c r="H63" s="68"/>
      <c r="I63" s="69">
        <f>I60/I53</f>
        <v>1.5630165289256202</v>
      </c>
      <c r="J63" s="68"/>
      <c r="K63" s="69">
        <f>K60/K53</f>
        <v>1.4052838673412034</v>
      </c>
      <c r="L63" s="68"/>
      <c r="M63" s="69">
        <f>M60/M53</f>
        <v>1.5861973392461206</v>
      </c>
      <c r="N63" s="68"/>
      <c r="O63" s="69">
        <f>O60/O53</f>
        <v>1.4553034445051938</v>
      </c>
      <c r="P63" s="68"/>
      <c r="Q63" s="69">
        <f>Q60/Q53</f>
        <v>1.4410880262438497</v>
      </c>
      <c r="R63" s="68"/>
      <c r="S63" s="69">
        <f>S60/S53</f>
        <v>1.4590527610716242</v>
      </c>
      <c r="T63" s="68"/>
      <c r="U63" s="69">
        <f>U60/U53</f>
        <v>1.4771971432476767</v>
      </c>
      <c r="V63" s="70"/>
      <c r="X63" s="33">
        <f>(U63/M63)^(1/(U$5-$M$5))-1</f>
        <v>-0.017640814132144578</v>
      </c>
    </row>
    <row r="65" spans="2:21" s="76" customFormat="1" ht="12.75" customHeight="1">
      <c r="B65" s="76" t="s">
        <v>51</v>
      </c>
      <c r="G65" s="77">
        <v>26</v>
      </c>
      <c r="I65" s="77">
        <v>12.5</v>
      </c>
      <c r="K65" s="77">
        <v>18</v>
      </c>
      <c r="M65" s="77">
        <v>16</v>
      </c>
      <c r="O65" s="77">
        <v>14.1</v>
      </c>
      <c r="Q65" s="74">
        <f>Q66*Q7</f>
        <v>14.175320512820512</v>
      </c>
      <c r="S65" s="74">
        <f>S66*S7</f>
        <v>14.317073717948718</v>
      </c>
      <c r="U65" s="74">
        <f>U66*U7</f>
        <v>14.460244455128205</v>
      </c>
    </row>
    <row r="66" spans="1:23" s="19" customFormat="1" ht="12.75" customHeight="1">
      <c r="A66" s="49"/>
      <c r="B66" s="49"/>
      <c r="C66" s="49" t="s">
        <v>26</v>
      </c>
      <c r="D66" s="49"/>
      <c r="E66" s="49"/>
      <c r="F66" s="49"/>
      <c r="G66" s="50">
        <f>G65/G$7</f>
        <v>0.07011866235167206</v>
      </c>
      <c r="H66" s="49"/>
      <c r="I66" s="50">
        <f>I65/I$7</f>
        <v>0.03282563025210084</v>
      </c>
      <c r="J66" s="49"/>
      <c r="K66" s="50">
        <f>K65/K$7</f>
        <v>0.04472049689440994</v>
      </c>
      <c r="L66" s="49"/>
      <c r="M66" s="50">
        <f>M65/M$7</f>
        <v>0.034926871862038855</v>
      </c>
      <c r="N66" s="49"/>
      <c r="O66" s="50">
        <f>O65/O$7</f>
        <v>0.03012820512820513</v>
      </c>
      <c r="P66" s="49"/>
      <c r="Q66" s="50">
        <f>O66</f>
        <v>0.03012820512820513</v>
      </c>
      <c r="R66" s="49"/>
      <c r="S66" s="50">
        <f>Q66</f>
        <v>0.03012820512820513</v>
      </c>
      <c r="T66" s="49"/>
      <c r="U66" s="50">
        <f>S66</f>
        <v>0.03012820512820513</v>
      </c>
      <c r="V66" s="49"/>
      <c r="W66" s="49"/>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MacGregor</dc:creator>
  <cp:keywords/>
  <dc:description/>
  <cp:lastModifiedBy>Ryan MacGregor</cp:lastModifiedBy>
  <dcterms:created xsi:type="dcterms:W3CDTF">2009-06-11T16:36:02Z</dcterms:created>
  <dcterms:modified xsi:type="dcterms:W3CDTF">2009-06-16T23:43:01Z</dcterms:modified>
  <cp:category/>
  <cp:version/>
  <cp:contentType/>
  <cp:contentStatus/>
</cp:coreProperties>
</file>