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928"/>
  <workbookPr defaultThemeVersion="124226"/>
  <mc:AlternateContent xmlns:mc="http://schemas.openxmlformats.org/markup-compatibility/2006">
    <mc:Choice Requires="x15">
      <x15ac:absPath xmlns:x15ac="http://schemas.microsoft.com/office/spreadsheetml/2010/11/ac" url="G:\Shared drives\Non Course Content\Macabacus Learning Resources\Complete Models - Complete\"/>
    </mc:Choice>
  </mc:AlternateContent>
  <xr:revisionPtr revIDLastSave="0" documentId="13_ncr:1_{02406218-D4D3-41A1-A58F-95ADDD021C19}" xr6:coauthVersionLast="47" xr6:coauthVersionMax="47" xr10:uidLastSave="{00000000-0000-0000-0000-000000000000}"/>
  <bookViews>
    <workbookView xWindow="-96" yWindow="-96" windowWidth="23232" windowHeight="12696" xr2:uid="{00000000-000D-0000-FFFF-FFFF00000000}"/>
  </bookViews>
  <sheets>
    <sheet name="Cover Page" sheetId="14" r:id="rId1"/>
    <sheet name="LBO" sheetId="12" r:id="rId2"/>
  </sheets>
  <externalReferences>
    <externalReference r:id="rId3"/>
  </externalReferences>
  <definedNames>
    <definedName name="_tags1" localSheetId="1" hidden="1">"&lt;tags&gt;&lt;tag n=""Palette"" v=""3"" /&gt;&lt;tag n=""ClosestPalette"" v=""3"" /&gt;&lt;/tags&gt;"</definedName>
    <definedName name="avg_int">LBO!$K$22</definedName>
    <definedName name="CIQWBGuid" hidden="1">"2cd8126d-26c3-430c-b7fa-a069e3a1fc62"</definedName>
    <definedName name="close">LBO!$K$28</definedName>
    <definedName name="err_msg">LBO!$P$56</definedName>
    <definedName name="exit_year">LBO!$P$42</definedName>
    <definedName name="goodwill">LBO!$V$51</definedName>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41666.7099189815</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LBO">LBO!$M$1246</definedName>
    <definedName name="op_case">LBO!$K$11</definedName>
    <definedName name="_xlnm.Print_Area" localSheetId="0">'Cover Page'!$A$1:$N$53</definedName>
    <definedName name="_xlnm.Print_Area">#REF!</definedName>
    <definedName name="revolver">LBO!$M$1247</definedName>
    <definedName name="scenario">LBO!$K$10</definedName>
    <definedName name="sponsor_fee">LBO!$K$20</definedName>
    <definedName name="tax">LBO!$V$10</definedName>
  </definedNames>
  <calcPr calcId="191029" calcMode="autoNoTable" iterate="1"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1391" i="12" l="1"/>
  <c r="U1391" i="12"/>
  <c r="T1391" i="12"/>
  <c r="S1391" i="12"/>
  <c r="R1391" i="12"/>
  <c r="Q1391" i="12"/>
  <c r="P1391" i="12"/>
  <c r="O1391" i="12"/>
  <c r="N1391" i="12"/>
  <c r="M1391" i="12"/>
  <c r="L447" i="12" l="1"/>
  <c r="G535" i="12"/>
  <c r="H535" i="12"/>
  <c r="I535" i="12"/>
  <c r="F535" i="12"/>
  <c r="G520" i="12"/>
  <c r="H520" i="12"/>
  <c r="I520" i="12"/>
  <c r="G521" i="12"/>
  <c r="H521" i="12"/>
  <c r="I521" i="12"/>
  <c r="G522" i="12"/>
  <c r="H522" i="12"/>
  <c r="I522" i="12"/>
  <c r="G523" i="12"/>
  <c r="H523" i="12"/>
  <c r="I523" i="12"/>
  <c r="F523" i="12"/>
  <c r="F522" i="12"/>
  <c r="F521" i="12"/>
  <c r="F520" i="12"/>
  <c r="E525" i="12"/>
  <c r="E516" i="12" s="1"/>
  <c r="V535" i="12"/>
  <c r="U535" i="12"/>
  <c r="T535" i="12"/>
  <c r="S535" i="12"/>
  <c r="R535" i="12"/>
  <c r="Q535" i="12"/>
  <c r="P535" i="12"/>
  <c r="O535" i="12"/>
  <c r="N535" i="12"/>
  <c r="M535" i="12"/>
  <c r="B848" i="12"/>
  <c r="B878" i="12"/>
  <c r="F512" i="12" l="1"/>
  <c r="F516" i="12" s="1"/>
  <c r="G512" i="12" s="1"/>
  <c r="E531" i="12"/>
  <c r="F528" i="12" s="1"/>
  <c r="F530" i="12" s="1"/>
  <c r="F524" i="12" s="1"/>
  <c r="F519" i="12"/>
  <c r="K480" i="12"/>
  <c r="K479" i="12"/>
  <c r="B480" i="12"/>
  <c r="B481" i="12"/>
  <c r="B510" i="12"/>
  <c r="K490" i="12"/>
  <c r="K481" i="12"/>
  <c r="K482" i="12"/>
  <c r="K483" i="12"/>
  <c r="K484" i="12"/>
  <c r="K485" i="12"/>
  <c r="K486" i="12"/>
  <c r="K487" i="12"/>
  <c r="K488" i="12"/>
  <c r="K489" i="12"/>
  <c r="B800" i="12"/>
  <c r="B771" i="12"/>
  <c r="B742" i="12"/>
  <c r="B713" i="12"/>
  <c r="B684" i="12"/>
  <c r="B655" i="12"/>
  <c r="B626" i="12"/>
  <c r="B597" i="12"/>
  <c r="B568" i="12"/>
  <c r="B490" i="12"/>
  <c r="B488" i="12"/>
  <c r="B489" i="12"/>
  <c r="B482" i="12"/>
  <c r="B483" i="12"/>
  <c r="B484" i="12"/>
  <c r="B485" i="12"/>
  <c r="B486" i="12"/>
  <c r="B487" i="12"/>
  <c r="B466" i="12"/>
  <c r="B467" i="12"/>
  <c r="B468" i="12"/>
  <c r="B469" i="12"/>
  <c r="B470" i="12"/>
  <c r="B471" i="12"/>
  <c r="B472" i="12"/>
  <c r="B473" i="12"/>
  <c r="B474" i="12"/>
  <c r="B465" i="12"/>
  <c r="N461" i="12"/>
  <c r="O461" i="12"/>
  <c r="P461" i="12"/>
  <c r="Q461" i="12"/>
  <c r="R461" i="12"/>
  <c r="S461" i="12"/>
  <c r="T461" i="12"/>
  <c r="U461" i="12"/>
  <c r="V461" i="12"/>
  <c r="M461" i="12"/>
  <c r="B539" i="12"/>
  <c r="M1244" i="12"/>
  <c r="N190" i="12"/>
  <c r="O190" i="12" s="1"/>
  <c r="P190" i="12" s="1"/>
  <c r="Q190" i="12" s="1"/>
  <c r="R190" i="12" s="1"/>
  <c r="S190" i="12" s="1"/>
  <c r="T190" i="12" s="1"/>
  <c r="U190" i="12" s="1"/>
  <c r="V190" i="12" s="1"/>
  <c r="F525" i="12" l="1"/>
  <c r="G519" i="12" s="1"/>
  <c r="F531" i="12"/>
  <c r="G528" i="12" s="1"/>
  <c r="G530" i="12" s="1"/>
  <c r="G524" i="12" s="1"/>
  <c r="G516" i="12"/>
  <c r="H512" i="12" s="1"/>
  <c r="G525" i="12" l="1"/>
  <c r="H519" i="12" s="1"/>
  <c r="G531" i="12"/>
  <c r="H528" i="12" s="1"/>
  <c r="H530" i="12" s="1"/>
  <c r="H524" i="12" s="1"/>
  <c r="H516" i="12"/>
  <c r="I512" i="12" s="1"/>
  <c r="H525" i="12" l="1"/>
  <c r="I519" i="12" s="1"/>
  <c r="H531" i="12"/>
  <c r="I528" i="12" s="1"/>
  <c r="I530" i="12" s="1"/>
  <c r="I524" i="12" s="1"/>
  <c r="I516" i="12"/>
  <c r="I525" i="12" l="1"/>
  <c r="I531" i="12"/>
  <c r="N313" i="12" l="1"/>
  <c r="I1320" i="12" l="1"/>
  <c r="B1300" i="12"/>
  <c r="B1273" i="12"/>
  <c r="E878" i="12" l="1"/>
  <c r="E1122" i="12" l="1"/>
  <c r="E1123" i="12"/>
  <c r="E1124" i="12"/>
  <c r="E1125" i="12"/>
  <c r="E1126" i="12"/>
  <c r="E1127" i="12"/>
  <c r="E1128" i="12"/>
  <c r="E1129" i="12"/>
  <c r="E1130" i="12"/>
  <c r="E1121" i="12"/>
  <c r="E210" i="12"/>
  <c r="M1517" i="12"/>
  <c r="G206" i="12"/>
  <c r="H206" i="12"/>
  <c r="I206" i="12"/>
  <c r="F206" i="12"/>
  <c r="B1558" i="12" l="1"/>
  <c r="B1546" i="12"/>
  <c r="B1547" i="12"/>
  <c r="B1548" i="12"/>
  <c r="B1549" i="12"/>
  <c r="B1550" i="12"/>
  <c r="B1551" i="12"/>
  <c r="B1552" i="12"/>
  <c r="B1553" i="12"/>
  <c r="B1554" i="12"/>
  <c r="B1545" i="12"/>
  <c r="H1504" i="12"/>
  <c r="H1505" i="12"/>
  <c r="H1506" i="12"/>
  <c r="H1508" i="12"/>
  <c r="H1509" i="12"/>
  <c r="H1510" i="12"/>
  <c r="H1507" i="12"/>
  <c r="H1503" i="12"/>
  <c r="B1512" i="12"/>
  <c r="B1505" i="12"/>
  <c r="B1506" i="12"/>
  <c r="B1507" i="12"/>
  <c r="B1508" i="12"/>
  <c r="B1509" i="12"/>
  <c r="B1510" i="12"/>
  <c r="B1511" i="12"/>
  <c r="B1504" i="12"/>
  <c r="B1503" i="12"/>
  <c r="N1526" i="12"/>
  <c r="O1526" i="12"/>
  <c r="P1526" i="12"/>
  <c r="Q1526" i="12"/>
  <c r="R1526" i="12"/>
  <c r="S1526" i="12"/>
  <c r="T1526" i="12"/>
  <c r="U1526" i="12"/>
  <c r="V1526" i="12"/>
  <c r="M1526" i="12"/>
  <c r="B1596" i="12" l="1"/>
  <c r="B1584" i="12"/>
  <c r="B1571" i="12"/>
  <c r="H1511" i="12"/>
  <c r="H1512" i="12"/>
  <c r="O1533" i="12"/>
  <c r="B26" i="12"/>
  <c r="B27" i="12"/>
  <c r="B17" i="12"/>
  <c r="B18" i="12"/>
  <c r="B19" i="12"/>
  <c r="B20" i="12"/>
  <c r="B21" i="12"/>
  <c r="B22" i="12"/>
  <c r="B23" i="12"/>
  <c r="B24" i="12"/>
  <c r="B25" i="12"/>
  <c r="B16" i="12"/>
  <c r="G1266" i="12"/>
  <c r="G1284" i="12"/>
  <c r="G1285" i="12" s="1"/>
  <c r="L1277" i="12"/>
  <c r="G1267" i="12" l="1"/>
  <c r="G845" i="12"/>
  <c r="H845" i="12"/>
  <c r="I845" i="12"/>
  <c r="F845" i="12"/>
  <c r="J1277" i="12" l="1"/>
  <c r="K1277" i="12"/>
  <c r="B434" i="12"/>
  <c r="B435" i="12"/>
  <c r="B436" i="12"/>
  <c r="B437" i="12"/>
  <c r="B438" i="12"/>
  <c r="B439" i="12"/>
  <c r="B440" i="12"/>
  <c r="B441" i="12"/>
  <c r="B442" i="12"/>
  <c r="B443" i="12"/>
  <c r="B850" i="12"/>
  <c r="B851" i="12"/>
  <c r="B852" i="12"/>
  <c r="B853" i="12"/>
  <c r="B854" i="12"/>
  <c r="B855" i="12"/>
  <c r="B856" i="12"/>
  <c r="B857" i="12"/>
  <c r="B858" i="12"/>
  <c r="B859" i="12"/>
  <c r="B864" i="12"/>
  <c r="B865" i="12"/>
  <c r="B866" i="12"/>
  <c r="B867" i="12"/>
  <c r="B868" i="12"/>
  <c r="B869" i="12"/>
  <c r="B870" i="12"/>
  <c r="B871" i="12"/>
  <c r="B872" i="12"/>
  <c r="B863" i="12"/>
  <c r="B1320" i="12"/>
  <c r="B1303" i="12"/>
  <c r="B1304" i="12"/>
  <c r="B1305" i="12"/>
  <c r="B1306" i="12"/>
  <c r="B1307" i="12"/>
  <c r="B1308" i="12"/>
  <c r="B1309" i="12"/>
  <c r="B1310" i="12"/>
  <c r="B1311" i="12"/>
  <c r="B1302" i="12"/>
  <c r="G1268" i="12" l="1"/>
  <c r="B34" i="12"/>
  <c r="B35" i="12"/>
  <c r="B36" i="12"/>
  <c r="B33" i="12"/>
  <c r="B31" i="12"/>
  <c r="H1272" i="12" l="1"/>
  <c r="I1272" i="12"/>
  <c r="L1275" i="12"/>
  <c r="J1275" i="12"/>
  <c r="K1275" i="12"/>
  <c r="I1252" i="12"/>
  <c r="H1252" i="12"/>
  <c r="I1278" i="12" l="1"/>
  <c r="I1279" i="12"/>
  <c r="H1278" i="12"/>
  <c r="H1279" i="12"/>
  <c r="I1284" i="12" l="1"/>
  <c r="H1284" i="12"/>
  <c r="B321" i="12"/>
  <c r="B322" i="12"/>
  <c r="B323" i="12"/>
  <c r="B318" i="12"/>
  <c r="B319" i="12"/>
  <c r="B320" i="12"/>
  <c r="B317" i="12"/>
  <c r="M241" i="12" l="1"/>
  <c r="N1356" i="12"/>
  <c r="M1356" i="12"/>
  <c r="N1340" i="12"/>
  <c r="M1340" i="12"/>
  <c r="L1368" i="12"/>
  <c r="L1356" i="12"/>
  <c r="L1340" i="12"/>
  <c r="J1356" i="12"/>
  <c r="J1340" i="12"/>
  <c r="F1356" i="12"/>
  <c r="G1356" i="12"/>
  <c r="H1356" i="12"/>
  <c r="F1368" i="12"/>
  <c r="G1368" i="12"/>
  <c r="H1368" i="12"/>
  <c r="F1378" i="12"/>
  <c r="G1378" i="12"/>
  <c r="H1378" i="12"/>
  <c r="B1352" i="12"/>
  <c r="B1353" i="12"/>
  <c r="B1354" i="12"/>
  <c r="B1355" i="12"/>
  <c r="B1356" i="12"/>
  <c r="B1357" i="12"/>
  <c r="B1358" i="12"/>
  <c r="B1368" i="12"/>
  <c r="B1369" i="12"/>
  <c r="B1370" i="12"/>
  <c r="B1371" i="12"/>
  <c r="B1375" i="12"/>
  <c r="B1376" i="12"/>
  <c r="B1377" i="12"/>
  <c r="B1372" i="12"/>
  <c r="B1373" i="12"/>
  <c r="B1374" i="12"/>
  <c r="B1378" i="12"/>
  <c r="B1379" i="12"/>
  <c r="B1351" i="12"/>
  <c r="F1340" i="12"/>
  <c r="H1340" i="12"/>
  <c r="F1337" i="12"/>
  <c r="G1337" i="12"/>
  <c r="H1337" i="12"/>
  <c r="B1333" i="12"/>
  <c r="B1334" i="12"/>
  <c r="B1335" i="12"/>
  <c r="B1336" i="12"/>
  <c r="B1337" i="12"/>
  <c r="B1338" i="12"/>
  <c r="B1339" i="12"/>
  <c r="B1340" i="12"/>
  <c r="B1341" i="12"/>
  <c r="B1342" i="12"/>
  <c r="B1343" i="12"/>
  <c r="B1344" i="12"/>
  <c r="B1345" i="12"/>
  <c r="B1346" i="12"/>
  <c r="B1347" i="12"/>
  <c r="B1332" i="12"/>
  <c r="J1320" i="12"/>
  <c r="H1347" i="12" l="1"/>
  <c r="F1371" i="12"/>
  <c r="F1379" i="12" s="1"/>
  <c r="L1371" i="12"/>
  <c r="G1371" i="12"/>
  <c r="G1379" i="12" s="1"/>
  <c r="B913" i="12" l="1"/>
  <c r="B914" i="12"/>
  <c r="H848" i="12" l="1"/>
  <c r="I848" i="12"/>
  <c r="G848" i="12"/>
  <c r="F848" i="12"/>
  <c r="N848" i="12"/>
  <c r="O848" i="12"/>
  <c r="P848" i="12"/>
  <c r="Q848" i="12"/>
  <c r="R848" i="12"/>
  <c r="S848" i="12"/>
  <c r="T848" i="12"/>
  <c r="U848" i="12"/>
  <c r="V848" i="12"/>
  <c r="N849" i="12"/>
  <c r="O849" i="12"/>
  <c r="P849" i="12"/>
  <c r="Q849" i="12"/>
  <c r="R849" i="12"/>
  <c r="S849" i="12"/>
  <c r="T849" i="12"/>
  <c r="U849" i="12"/>
  <c r="V849" i="12"/>
  <c r="N850" i="12"/>
  <c r="O850" i="12"/>
  <c r="P850" i="12"/>
  <c r="Q850" i="12"/>
  <c r="R850" i="12"/>
  <c r="S850" i="12"/>
  <c r="T850" i="12"/>
  <c r="U850" i="12"/>
  <c r="V850" i="12"/>
  <c r="N851" i="12"/>
  <c r="O851" i="12"/>
  <c r="P851" i="12"/>
  <c r="Q851" i="12"/>
  <c r="R851" i="12"/>
  <c r="S851" i="12"/>
  <c r="T851" i="12"/>
  <c r="U851" i="12"/>
  <c r="V851" i="12"/>
  <c r="N852" i="12"/>
  <c r="O852" i="12"/>
  <c r="P852" i="12"/>
  <c r="Q852" i="12"/>
  <c r="R852" i="12"/>
  <c r="S852" i="12"/>
  <c r="T852" i="12"/>
  <c r="U852" i="12"/>
  <c r="V852" i="12"/>
  <c r="N853" i="12"/>
  <c r="O853" i="12"/>
  <c r="P853" i="12"/>
  <c r="Q853" i="12"/>
  <c r="R853" i="12"/>
  <c r="S853" i="12"/>
  <c r="T853" i="12"/>
  <c r="U853" i="12"/>
  <c r="V853" i="12"/>
  <c r="N854" i="12"/>
  <c r="O854" i="12"/>
  <c r="P854" i="12"/>
  <c r="Q854" i="12"/>
  <c r="R854" i="12"/>
  <c r="S854" i="12"/>
  <c r="T854" i="12"/>
  <c r="U854" i="12"/>
  <c r="V854" i="12"/>
  <c r="N855" i="12"/>
  <c r="O855" i="12"/>
  <c r="P855" i="12"/>
  <c r="Q855" i="12"/>
  <c r="R855" i="12"/>
  <c r="S855" i="12"/>
  <c r="T855" i="12"/>
  <c r="U855" i="12"/>
  <c r="V855" i="12"/>
  <c r="N856" i="12"/>
  <c r="O856" i="12"/>
  <c r="P856" i="12"/>
  <c r="Q856" i="12"/>
  <c r="R856" i="12"/>
  <c r="S856" i="12"/>
  <c r="T856" i="12"/>
  <c r="U856" i="12"/>
  <c r="V856" i="12"/>
  <c r="N857" i="12"/>
  <c r="O857" i="12"/>
  <c r="P857" i="12"/>
  <c r="Q857" i="12"/>
  <c r="R857" i="12"/>
  <c r="S857" i="12"/>
  <c r="T857" i="12"/>
  <c r="U857" i="12"/>
  <c r="V857" i="12"/>
  <c r="N858" i="12"/>
  <c r="O858" i="12"/>
  <c r="P858" i="12"/>
  <c r="Q858" i="12"/>
  <c r="R858" i="12"/>
  <c r="S858" i="12"/>
  <c r="T858" i="12"/>
  <c r="U858" i="12"/>
  <c r="V858" i="12"/>
  <c r="N859" i="12"/>
  <c r="O859" i="12"/>
  <c r="P859" i="12"/>
  <c r="Q859" i="12"/>
  <c r="R859" i="12"/>
  <c r="S859" i="12"/>
  <c r="T859" i="12"/>
  <c r="U859" i="12"/>
  <c r="V859" i="12"/>
  <c r="M849" i="12"/>
  <c r="M850" i="12"/>
  <c r="M851" i="12"/>
  <c r="M852" i="12"/>
  <c r="M853" i="12"/>
  <c r="M854" i="12"/>
  <c r="M855" i="12"/>
  <c r="M856" i="12"/>
  <c r="M857" i="12"/>
  <c r="M858" i="12"/>
  <c r="M859" i="12"/>
  <c r="M848" i="12"/>
  <c r="B849" i="12"/>
  <c r="B432" i="12"/>
  <c r="E1480" i="12"/>
  <c r="E1479" i="12"/>
  <c r="B950" i="12"/>
  <c r="B951" i="12"/>
  <c r="B949" i="12"/>
  <c r="B947" i="12"/>
  <c r="B946" i="12"/>
  <c r="E1107" i="12"/>
  <c r="F1107" i="12" l="1"/>
  <c r="E1120" i="12"/>
  <c r="B455" i="12"/>
  <c r="L455" i="12"/>
  <c r="B456" i="12"/>
  <c r="L456" i="12"/>
  <c r="G1107" i="12" l="1"/>
  <c r="F1120" i="12"/>
  <c r="B1148" i="12"/>
  <c r="B1149" i="12"/>
  <c r="B1150" i="12"/>
  <c r="B1151" i="12"/>
  <c r="B1152" i="12"/>
  <c r="B1153" i="12"/>
  <c r="B1154" i="12"/>
  <c r="B1155" i="12"/>
  <c r="B1156" i="12"/>
  <c r="B1157" i="12"/>
  <c r="B1158" i="12"/>
  <c r="B1133" i="12"/>
  <c r="B1134" i="12"/>
  <c r="B1135" i="12"/>
  <c r="B1136" i="12"/>
  <c r="B1137" i="12"/>
  <c r="B1138" i="12"/>
  <c r="B1139" i="12"/>
  <c r="B1140" i="12"/>
  <c r="B1141" i="12"/>
  <c r="B1142" i="12"/>
  <c r="B1143" i="12"/>
  <c r="B1120" i="12"/>
  <c r="B1121" i="12"/>
  <c r="B1122" i="12"/>
  <c r="B1123" i="12"/>
  <c r="B1124" i="12"/>
  <c r="B1125" i="12"/>
  <c r="B1126" i="12"/>
  <c r="B1127" i="12"/>
  <c r="B1128" i="12"/>
  <c r="B1129" i="12"/>
  <c r="B1130" i="12"/>
  <c r="F1109" i="12"/>
  <c r="F1122" i="12" s="1"/>
  <c r="F1110" i="12"/>
  <c r="F1111" i="12"/>
  <c r="F1112" i="12"/>
  <c r="F1113" i="12"/>
  <c r="F1114" i="12"/>
  <c r="F1127" i="12" s="1"/>
  <c r="F1115" i="12"/>
  <c r="F1116" i="12"/>
  <c r="F1129" i="12" s="1"/>
  <c r="F1117" i="12"/>
  <c r="F1108" i="12"/>
  <c r="F1121" i="12" s="1"/>
  <c r="B1107" i="12"/>
  <c r="B1115" i="12"/>
  <c r="B1116" i="12"/>
  <c r="B1117" i="12"/>
  <c r="B1109" i="12"/>
  <c r="B1110" i="12"/>
  <c r="B1111" i="12"/>
  <c r="B1112" i="12"/>
  <c r="B1113" i="12"/>
  <c r="B1114" i="12"/>
  <c r="B1108" i="12"/>
  <c r="D1475" i="12"/>
  <c r="D1474" i="12"/>
  <c r="D1473" i="12"/>
  <c r="D1472" i="12"/>
  <c r="D1471" i="12"/>
  <c r="D1470" i="12"/>
  <c r="D1469" i="12"/>
  <c r="D1468" i="12"/>
  <c r="D1467" i="12"/>
  <c r="D1466" i="12"/>
  <c r="C1467" i="12"/>
  <c r="C1468" i="12"/>
  <c r="C1469" i="12"/>
  <c r="C1470" i="12"/>
  <c r="C1471" i="12"/>
  <c r="C1472" i="12"/>
  <c r="C1473" i="12"/>
  <c r="C1474" i="12"/>
  <c r="C1475" i="12"/>
  <c r="C1466" i="12"/>
  <c r="N144" i="12"/>
  <c r="G1117" i="12" l="1"/>
  <c r="G1130" i="12" s="1"/>
  <c r="F1130" i="12"/>
  <c r="G1113" i="12"/>
  <c r="G1126" i="12" s="1"/>
  <c r="F1126" i="12"/>
  <c r="G1112" i="12"/>
  <c r="F1125" i="12"/>
  <c r="G1110" i="12"/>
  <c r="G1123" i="12" s="1"/>
  <c r="F1123" i="12"/>
  <c r="G1115" i="12"/>
  <c r="G1128" i="12" s="1"/>
  <c r="F1128" i="12"/>
  <c r="G1111" i="12"/>
  <c r="G1124" i="12" s="1"/>
  <c r="F1124" i="12"/>
  <c r="H1107" i="12"/>
  <c r="G1120" i="12"/>
  <c r="N426" i="12"/>
  <c r="G1108" i="12"/>
  <c r="G1109" i="12"/>
  <c r="G1116" i="12"/>
  <c r="G1129" i="12" s="1"/>
  <c r="G1114" i="12"/>
  <c r="G1127" i="12" s="1"/>
  <c r="B904" i="12"/>
  <c r="H1115" i="12" l="1"/>
  <c r="H1128" i="12" s="1"/>
  <c r="H1117" i="12"/>
  <c r="H1130" i="12" s="1"/>
  <c r="H1110" i="12"/>
  <c r="H1123" i="12" s="1"/>
  <c r="H1113" i="12"/>
  <c r="H1126" i="12" s="1"/>
  <c r="H1111" i="12"/>
  <c r="H1124" i="12" s="1"/>
  <c r="H1108" i="12"/>
  <c r="H1121" i="12" s="1"/>
  <c r="G1121" i="12"/>
  <c r="H1109" i="12"/>
  <c r="G1122" i="12"/>
  <c r="I1107" i="12"/>
  <c r="I1120" i="12" s="1"/>
  <c r="H1120" i="12"/>
  <c r="H1112" i="12"/>
  <c r="G1125" i="12"/>
  <c r="H1116" i="12"/>
  <c r="H1129" i="12" s="1"/>
  <c r="H1114" i="12"/>
  <c r="H1127" i="12" s="1"/>
  <c r="I1115" i="12" l="1"/>
  <c r="I1128" i="12" s="1"/>
  <c r="I1110" i="12"/>
  <c r="I1123" i="12" s="1"/>
  <c r="I1117" i="12"/>
  <c r="I1130" i="12" s="1"/>
  <c r="I1108" i="12"/>
  <c r="I1121" i="12" s="1"/>
  <c r="I1113" i="12"/>
  <c r="I1126" i="12" s="1"/>
  <c r="I1111" i="12"/>
  <c r="I1124" i="12" s="1"/>
  <c r="I1112" i="12"/>
  <c r="I1125" i="12" s="1"/>
  <c r="H1125" i="12"/>
  <c r="I1109" i="12"/>
  <c r="I1122" i="12" s="1"/>
  <c r="H1122" i="12"/>
  <c r="I1116" i="12"/>
  <c r="I1129" i="12" s="1"/>
  <c r="I1114" i="12"/>
  <c r="I1127" i="12" s="1"/>
  <c r="E1073" i="12"/>
  <c r="F1070" i="12" s="1"/>
  <c r="V19" i="12"/>
  <c r="N363" i="12"/>
  <c r="M363" i="12"/>
  <c r="E1081" i="12"/>
  <c r="F1162" i="12"/>
  <c r="F352" i="12" s="1"/>
  <c r="L1104" i="12"/>
  <c r="J1104" i="12"/>
  <c r="N1103" i="12"/>
  <c r="M1103" i="12"/>
  <c r="I1103" i="12"/>
  <c r="H1103" i="12"/>
  <c r="G1103" i="12"/>
  <c r="F1103" i="12"/>
  <c r="E1103" i="12"/>
  <c r="E1027" i="12"/>
  <c r="E989" i="12"/>
  <c r="J990" i="12"/>
  <c r="E1047" i="12"/>
  <c r="F1030" i="12"/>
  <c r="F1036" i="12"/>
  <c r="N1057" i="12"/>
  <c r="O1057" i="12"/>
  <c r="P1057" i="12"/>
  <c r="Q1057" i="12"/>
  <c r="R1057" i="12"/>
  <c r="S1057" i="12"/>
  <c r="T1057" i="12"/>
  <c r="U1057" i="12"/>
  <c r="V1057" i="12"/>
  <c r="N1058" i="12"/>
  <c r="O1058" i="12"/>
  <c r="P1058" i="12"/>
  <c r="Q1058" i="12"/>
  <c r="R1058" i="12"/>
  <c r="S1058" i="12"/>
  <c r="T1058" i="12"/>
  <c r="U1058" i="12"/>
  <c r="V1058" i="12"/>
  <c r="M1058" i="12"/>
  <c r="M1057" i="12"/>
  <c r="H1057" i="12"/>
  <c r="I1057" i="12"/>
  <c r="H1058" i="12"/>
  <c r="I1058" i="12"/>
  <c r="G1058" i="12"/>
  <c r="G1057" i="12"/>
  <c r="F1059" i="12"/>
  <c r="M1036" i="12"/>
  <c r="E1022" i="12"/>
  <c r="F1020" i="12" s="1"/>
  <c r="N994" i="12"/>
  <c r="O994" i="12"/>
  <c r="P994" i="12"/>
  <c r="Q994" i="12"/>
  <c r="R994" i="12"/>
  <c r="S994" i="12"/>
  <c r="T994" i="12"/>
  <c r="U994" i="12"/>
  <c r="V994" i="12"/>
  <c r="N995" i="12"/>
  <c r="O995" i="12"/>
  <c r="P995" i="12"/>
  <c r="Q995" i="12"/>
  <c r="R995" i="12"/>
  <c r="S995" i="12"/>
  <c r="T995" i="12"/>
  <c r="U995" i="12"/>
  <c r="V995" i="12"/>
  <c r="M995" i="12"/>
  <c r="M994" i="12"/>
  <c r="H994" i="12"/>
  <c r="I994" i="12"/>
  <c r="H995" i="12"/>
  <c r="I995" i="12"/>
  <c r="G995" i="12"/>
  <c r="G994" i="12"/>
  <c r="F996" i="12"/>
  <c r="F235" i="12" s="1"/>
  <c r="F187" i="12" s="1"/>
  <c r="M1006" i="12"/>
  <c r="N1005" i="12"/>
  <c r="O1005" i="12"/>
  <c r="P1005" i="12"/>
  <c r="Q1005" i="12"/>
  <c r="R1005" i="12"/>
  <c r="S1005" i="12"/>
  <c r="T1005" i="12"/>
  <c r="U1005" i="12"/>
  <c r="V1005" i="12"/>
  <c r="M1005" i="12"/>
  <c r="G1005" i="12"/>
  <c r="H1005" i="12"/>
  <c r="I1005" i="12"/>
  <c r="F1005" i="12"/>
  <c r="G1002" i="12"/>
  <c r="H1002" i="12"/>
  <c r="I1002" i="12"/>
  <c r="F1002" i="12"/>
  <c r="G1001" i="12"/>
  <c r="H1001" i="12"/>
  <c r="I1001" i="12"/>
  <c r="F1001" i="12"/>
  <c r="I989" i="12"/>
  <c r="H989" i="12"/>
  <c r="G989" i="12"/>
  <c r="F989" i="12"/>
  <c r="I406" i="12"/>
  <c r="H406" i="12"/>
  <c r="G406" i="12"/>
  <c r="F406" i="12"/>
  <c r="O313" i="12"/>
  <c r="P313" i="12"/>
  <c r="Q313" i="12"/>
  <c r="R313" i="12"/>
  <c r="S313" i="12"/>
  <c r="T313" i="12"/>
  <c r="U313" i="12"/>
  <c r="V313" i="12"/>
  <c r="N314" i="12"/>
  <c r="O314" i="12"/>
  <c r="P314" i="12"/>
  <c r="Q314" i="12"/>
  <c r="R314" i="12"/>
  <c r="S314" i="12"/>
  <c r="T314" i="12"/>
  <c r="U314" i="12"/>
  <c r="V314" i="12"/>
  <c r="M314" i="12"/>
  <c r="M313" i="12"/>
  <c r="G313" i="12"/>
  <c r="H313" i="12"/>
  <c r="I313" i="12"/>
  <c r="G314" i="12"/>
  <c r="H314" i="12"/>
  <c r="I314" i="12"/>
  <c r="F314" i="12"/>
  <c r="F313" i="12"/>
  <c r="N175" i="12"/>
  <c r="O175" i="12"/>
  <c r="P175" i="12"/>
  <c r="Q175" i="12"/>
  <c r="R175" i="12"/>
  <c r="S175" i="12"/>
  <c r="T175" i="12"/>
  <c r="U175" i="12"/>
  <c r="V175" i="12"/>
  <c r="M175" i="12"/>
  <c r="G175" i="12"/>
  <c r="H175" i="12"/>
  <c r="I175" i="12"/>
  <c r="F175" i="12"/>
  <c r="G412" i="12"/>
  <c r="H412" i="12"/>
  <c r="I412" i="12"/>
  <c r="M412" i="12"/>
  <c r="N412" i="12"/>
  <c r="O412" i="12"/>
  <c r="P412" i="12"/>
  <c r="Q412" i="12"/>
  <c r="R412" i="12"/>
  <c r="S412" i="12"/>
  <c r="T412" i="12"/>
  <c r="U412" i="12"/>
  <c r="V412" i="12"/>
  <c r="N406" i="12"/>
  <c r="M406" i="12"/>
  <c r="F412" i="12"/>
  <c r="F256" i="12" s="1"/>
  <c r="E172" i="12"/>
  <c r="K1091" i="12" l="1"/>
  <c r="K1090" i="12"/>
  <c r="K1097" i="12"/>
  <c r="G1162" i="12"/>
  <c r="K1092" i="12"/>
  <c r="K1096" i="12"/>
  <c r="K1094" i="12"/>
  <c r="K1089" i="12"/>
  <c r="K1088" i="12"/>
  <c r="K1093" i="12"/>
  <c r="K1095" i="12"/>
  <c r="R1059" i="12"/>
  <c r="S1059" i="12"/>
  <c r="O1059" i="12"/>
  <c r="H1059" i="12"/>
  <c r="M1059" i="12"/>
  <c r="E1053" i="12"/>
  <c r="F1051" i="12" s="1"/>
  <c r="T1059" i="12"/>
  <c r="P1059" i="12"/>
  <c r="F1043" i="12"/>
  <c r="G256" i="12"/>
  <c r="H256" i="12" s="1"/>
  <c r="I256" i="12" s="1"/>
  <c r="V1059" i="12"/>
  <c r="N1059" i="12"/>
  <c r="G1059" i="12"/>
  <c r="I1059" i="12"/>
  <c r="O996" i="12"/>
  <c r="O235" i="12" s="1"/>
  <c r="U1059" i="12"/>
  <c r="Q1059" i="12"/>
  <c r="M996" i="12"/>
  <c r="M235" i="12" s="1"/>
  <c r="I996" i="12"/>
  <c r="I235" i="12" s="1"/>
  <c r="I187" i="12" s="1"/>
  <c r="V996" i="12"/>
  <c r="V235" i="12" s="1"/>
  <c r="R996" i="12"/>
  <c r="R235" i="12" s="1"/>
  <c r="N996" i="12"/>
  <c r="N235" i="12" s="1"/>
  <c r="G996" i="12"/>
  <c r="G235" i="12" s="1"/>
  <c r="G187" i="12" s="1"/>
  <c r="S996" i="12"/>
  <c r="S235" i="12" s="1"/>
  <c r="H996" i="12"/>
  <c r="H235" i="12" s="1"/>
  <c r="H187" i="12" s="1"/>
  <c r="U996" i="12"/>
  <c r="U235" i="12" s="1"/>
  <c r="Q996" i="12"/>
  <c r="Q235" i="12" s="1"/>
  <c r="T996" i="12"/>
  <c r="T235" i="12" s="1"/>
  <c r="P996" i="12"/>
  <c r="P235" i="12" s="1"/>
  <c r="E283" i="12"/>
  <c r="H1162" i="12" l="1"/>
  <c r="G352" i="12"/>
  <c r="K1098" i="12"/>
  <c r="O32" i="12"/>
  <c r="M38" i="12"/>
  <c r="M37" i="12"/>
  <c r="M34" i="12"/>
  <c r="M33" i="12"/>
  <c r="F219" i="12"/>
  <c r="G219" i="12"/>
  <c r="H219" i="12"/>
  <c r="I219" i="12"/>
  <c r="F215" i="12"/>
  <c r="G215" i="12"/>
  <c r="H215" i="12"/>
  <c r="I215" i="12"/>
  <c r="F214" i="12"/>
  <c r="G214" i="12"/>
  <c r="H214" i="12"/>
  <c r="I214" i="12"/>
  <c r="O222" i="12"/>
  <c r="P222" i="12" s="1"/>
  <c r="Q222" i="12" s="1"/>
  <c r="R222" i="12" s="1"/>
  <c r="S222" i="12" s="1"/>
  <c r="T222" i="12" s="1"/>
  <c r="U222" i="12" s="1"/>
  <c r="V222" i="12" s="1"/>
  <c r="O221" i="12"/>
  <c r="P221" i="12" s="1"/>
  <c r="Q221" i="12" s="1"/>
  <c r="R221" i="12" s="1"/>
  <c r="S221" i="12" s="1"/>
  <c r="T221" i="12" s="1"/>
  <c r="U221" i="12" s="1"/>
  <c r="V221" i="12" s="1"/>
  <c r="M222" i="12"/>
  <c r="M221" i="12"/>
  <c r="E222" i="12"/>
  <c r="F222" i="12" s="1"/>
  <c r="G222" i="12" s="1"/>
  <c r="H222" i="12" s="1"/>
  <c r="I222" i="12" s="1"/>
  <c r="E221" i="12"/>
  <c r="F221" i="12" s="1"/>
  <c r="G221" i="12" s="1"/>
  <c r="H221" i="12" s="1"/>
  <c r="I221" i="12" s="1"/>
  <c r="L64" i="12"/>
  <c r="G1163" i="12" l="1"/>
  <c r="I1163" i="12"/>
  <c r="E1163" i="12"/>
  <c r="I1162" i="12"/>
  <c r="I352" i="12" s="1"/>
  <c r="H352" i="12"/>
  <c r="H1163" i="12"/>
  <c r="F1163" i="12"/>
  <c r="N1220" i="12" l="1"/>
  <c r="N1222" i="12" s="1"/>
  <c r="O1220" i="12"/>
  <c r="O1222" i="12" s="1"/>
  <c r="M1220" i="12"/>
  <c r="M1222" i="12" s="1"/>
  <c r="P1221" i="12"/>
  <c r="Q1221" i="12" s="1"/>
  <c r="R1221" i="12" s="1"/>
  <c r="S1221" i="12" s="1"/>
  <c r="T1221" i="12" s="1"/>
  <c r="U1221" i="12" s="1"/>
  <c r="V1221" i="12" s="1"/>
  <c r="N1213" i="12"/>
  <c r="O1213" i="12"/>
  <c r="M1213" i="12"/>
  <c r="P1214" i="12"/>
  <c r="Q1214" i="12" s="1"/>
  <c r="R1214" i="12" s="1"/>
  <c r="S1214" i="12" s="1"/>
  <c r="T1214" i="12" s="1"/>
  <c r="U1214" i="12" s="1"/>
  <c r="V1214" i="12" s="1"/>
  <c r="P1220" i="12" l="1"/>
  <c r="Q1220" i="12" s="1"/>
  <c r="P1222" i="12" l="1"/>
  <c r="Q1222" i="12"/>
  <c r="R1220" i="12"/>
  <c r="R1222" i="12" l="1"/>
  <c r="S1220" i="12"/>
  <c r="T1220" i="12" l="1"/>
  <c r="S1222" i="12"/>
  <c r="T1222" i="12" l="1"/>
  <c r="U1220" i="12"/>
  <c r="U1222" i="12" l="1"/>
  <c r="V1220" i="12"/>
  <c r="V1222" i="12" s="1"/>
  <c r="N1227" i="12" l="1"/>
  <c r="N1229" i="12" s="1"/>
  <c r="N218" i="12" s="1"/>
  <c r="O1227" i="12"/>
  <c r="P1227" i="12" s="1"/>
  <c r="Q1227" i="12" s="1"/>
  <c r="R1227" i="12" s="1"/>
  <c r="S1227" i="12" s="1"/>
  <c r="T1227" i="12" s="1"/>
  <c r="U1227" i="12" s="1"/>
  <c r="V1227" i="12" s="1"/>
  <c r="V1229" i="12" s="1"/>
  <c r="V218" i="12" s="1"/>
  <c r="M1227" i="12"/>
  <c r="M1229" i="12" s="1"/>
  <c r="M218" i="12" s="1"/>
  <c r="P1228" i="12"/>
  <c r="Q1228" i="12" s="1"/>
  <c r="R1228" i="12" s="1"/>
  <c r="S1228" i="12" s="1"/>
  <c r="T1228" i="12" s="1"/>
  <c r="U1228" i="12" s="1"/>
  <c r="V1228" i="12" s="1"/>
  <c r="P1200" i="12"/>
  <c r="Q1200" i="12" s="1"/>
  <c r="R1200" i="12" s="1"/>
  <c r="S1200" i="12" s="1"/>
  <c r="T1200" i="12" s="1"/>
  <c r="U1200" i="12" s="1"/>
  <c r="V1200" i="12" s="1"/>
  <c r="P1235" i="12"/>
  <c r="Q1235" i="12" s="1"/>
  <c r="R1235" i="12" s="1"/>
  <c r="S1235" i="12" s="1"/>
  <c r="T1235" i="12" s="1"/>
  <c r="U1235" i="12" s="1"/>
  <c r="V1235" i="12" s="1"/>
  <c r="N1234" i="12"/>
  <c r="N1236" i="12" s="1"/>
  <c r="N219" i="12" s="1"/>
  <c r="O1234" i="12"/>
  <c r="M1234" i="12"/>
  <c r="M1236" i="12" s="1"/>
  <c r="M219" i="12" s="1"/>
  <c r="N1175" i="12"/>
  <c r="P1207" i="12"/>
  <c r="Q1207" i="12" s="1"/>
  <c r="R1207" i="12" s="1"/>
  <c r="S1207" i="12" s="1"/>
  <c r="T1207" i="12" s="1"/>
  <c r="U1207" i="12" s="1"/>
  <c r="V1207" i="12" s="1"/>
  <c r="N1206" i="12"/>
  <c r="O1206" i="12"/>
  <c r="P1206" i="12" s="1"/>
  <c r="Q1206" i="12" s="1"/>
  <c r="R1206" i="12" s="1"/>
  <c r="M1206" i="12"/>
  <c r="N1199" i="12"/>
  <c r="O1199" i="12"/>
  <c r="P1199" i="12" s="1"/>
  <c r="Q1199" i="12" s="1"/>
  <c r="M1199" i="12"/>
  <c r="M1201" i="12" s="1"/>
  <c r="E219" i="12"/>
  <c r="M1232" i="12" s="1"/>
  <c r="N1232" i="12" s="1"/>
  <c r="O1232" i="12" s="1"/>
  <c r="P1232" i="12" s="1"/>
  <c r="Q1232" i="12" s="1"/>
  <c r="R1232" i="12" s="1"/>
  <c r="S1232" i="12" s="1"/>
  <c r="T1232" i="12" s="1"/>
  <c r="U1232" i="12" s="1"/>
  <c r="V1232" i="12" s="1"/>
  <c r="B1232" i="12"/>
  <c r="B1233" i="12"/>
  <c r="B1234" i="12"/>
  <c r="B1235" i="12"/>
  <c r="B1204" i="12"/>
  <c r="B1218" i="12" s="1"/>
  <c r="B1205" i="12"/>
  <c r="B1219" i="12" s="1"/>
  <c r="B1206" i="12"/>
  <c r="B1220" i="12" s="1"/>
  <c r="B1222" i="12" s="1"/>
  <c r="B1207" i="12"/>
  <c r="B1221" i="12" s="1"/>
  <c r="B1197" i="12"/>
  <c r="N1172" i="12"/>
  <c r="M1172" i="12"/>
  <c r="G1476" i="12"/>
  <c r="J1476" i="12"/>
  <c r="G1477" i="12"/>
  <c r="J1477" i="12"/>
  <c r="G1478" i="12"/>
  <c r="J1478" i="12"/>
  <c r="G1479" i="12"/>
  <c r="J1479" i="12"/>
  <c r="G1480" i="12"/>
  <c r="J1480" i="12"/>
  <c r="G1481" i="12"/>
  <c r="J1481" i="12"/>
  <c r="G1482" i="12"/>
  <c r="J1482" i="12"/>
  <c r="G1483" i="12"/>
  <c r="J1483" i="12"/>
  <c r="G1484" i="12"/>
  <c r="J1484" i="12"/>
  <c r="G1485" i="12"/>
  <c r="J1485" i="12"/>
  <c r="G1486" i="12"/>
  <c r="G1487" i="12"/>
  <c r="N845" i="12"/>
  <c r="O845" i="12" s="1"/>
  <c r="P845" i="12" s="1"/>
  <c r="Q845" i="12" s="1"/>
  <c r="R845" i="12" s="1"/>
  <c r="S845" i="12" s="1"/>
  <c r="T845" i="12" s="1"/>
  <c r="U845" i="12" s="1"/>
  <c r="V845" i="12" s="1"/>
  <c r="N846" i="12"/>
  <c r="O846" i="12" s="1"/>
  <c r="P846" i="12" s="1"/>
  <c r="Q846" i="12" s="1"/>
  <c r="R846" i="12" s="1"/>
  <c r="S846" i="12" s="1"/>
  <c r="T846" i="12" s="1"/>
  <c r="U846" i="12" s="1"/>
  <c r="V846" i="12" s="1"/>
  <c r="B888" i="12"/>
  <c r="B889" i="12"/>
  <c r="B880" i="12"/>
  <c r="B881" i="12"/>
  <c r="B882" i="12"/>
  <c r="B883" i="12"/>
  <c r="B884" i="12"/>
  <c r="B885" i="12"/>
  <c r="B886" i="12"/>
  <c r="B887" i="12"/>
  <c r="B906" i="12"/>
  <c r="B907" i="12"/>
  <c r="B908" i="12"/>
  <c r="B909" i="12"/>
  <c r="B910" i="12"/>
  <c r="B911" i="12"/>
  <c r="B912" i="12"/>
  <c r="B905" i="12"/>
  <c r="F170" i="12"/>
  <c r="G170" i="12" s="1"/>
  <c r="H170" i="12" s="1"/>
  <c r="I170" i="12" s="1"/>
  <c r="F171" i="12"/>
  <c r="G171" i="12" s="1"/>
  <c r="H171" i="12" s="1"/>
  <c r="I171" i="12" s="1"/>
  <c r="B165" i="12"/>
  <c r="B166" i="12"/>
  <c r="B167" i="12"/>
  <c r="B168" i="12"/>
  <c r="B169" i="12"/>
  <c r="B170" i="12"/>
  <c r="B171" i="12"/>
  <c r="B164" i="12"/>
  <c r="F353" i="12"/>
  <c r="G320" i="12"/>
  <c r="H320" i="12" s="1"/>
  <c r="I320" i="12" s="1"/>
  <c r="G321" i="12"/>
  <c r="H321" i="12" s="1"/>
  <c r="I321" i="12" s="1"/>
  <c r="G348" i="12"/>
  <c r="G349" i="12"/>
  <c r="H349" i="12" s="1"/>
  <c r="I349" i="12" s="1"/>
  <c r="B343" i="12"/>
  <c r="B344" i="12"/>
  <c r="B345" i="12"/>
  <c r="B346" i="12"/>
  <c r="B347" i="12"/>
  <c r="B348" i="12"/>
  <c r="B349" i="12"/>
  <c r="B350" i="12"/>
  <c r="B351" i="12"/>
  <c r="B342" i="12"/>
  <c r="F281" i="12"/>
  <c r="G281" i="12" s="1"/>
  <c r="F282" i="12"/>
  <c r="G282" i="12" s="1"/>
  <c r="H282" i="12" s="1"/>
  <c r="B282" i="12"/>
  <c r="B1367" i="12" s="1"/>
  <c r="B281" i="12"/>
  <c r="B1366" i="12" s="1"/>
  <c r="B280" i="12"/>
  <c r="B1365" i="12" s="1"/>
  <c r="B279" i="12"/>
  <c r="B1364" i="12" s="1"/>
  <c r="B278" i="12"/>
  <c r="B1363" i="12" s="1"/>
  <c r="B277" i="12"/>
  <c r="B1362" i="12" s="1"/>
  <c r="B276" i="12"/>
  <c r="B1361" i="12" s="1"/>
  <c r="B275" i="12"/>
  <c r="B1360" i="12" s="1"/>
  <c r="B453" i="12"/>
  <c r="L453" i="12"/>
  <c r="B454" i="12"/>
  <c r="L454" i="12"/>
  <c r="B448" i="12"/>
  <c r="B449" i="12"/>
  <c r="B450" i="12"/>
  <c r="B451" i="12"/>
  <c r="B452" i="12"/>
  <c r="B447" i="12"/>
  <c r="L448" i="12"/>
  <c r="L449" i="12"/>
  <c r="L450" i="12"/>
  <c r="L451" i="12"/>
  <c r="L452" i="12"/>
  <c r="G316" i="12"/>
  <c r="H316" i="12" s="1"/>
  <c r="I316" i="12" s="1"/>
  <c r="F174" i="12"/>
  <c r="G174" i="12" l="1"/>
  <c r="F1007" i="12"/>
  <c r="P1234" i="12"/>
  <c r="Q1234" i="12" s="1"/>
  <c r="B1225" i="12"/>
  <c r="B1211" i="12"/>
  <c r="P1229" i="12"/>
  <c r="P218" i="12" s="1"/>
  <c r="T1229" i="12"/>
  <c r="T218" i="12" s="1"/>
  <c r="Q1229" i="12"/>
  <c r="Q218" i="12" s="1"/>
  <c r="O1236" i="12"/>
  <c r="O219" i="12" s="1"/>
  <c r="R1229" i="12"/>
  <c r="R218" i="12" s="1"/>
  <c r="U1229" i="12"/>
  <c r="U218" i="12" s="1"/>
  <c r="O1229" i="12"/>
  <c r="O218" i="12" s="1"/>
  <c r="S1229" i="12"/>
  <c r="S218" i="12" s="1"/>
  <c r="H348" i="12"/>
  <c r="I348" i="12" s="1"/>
  <c r="H281" i="12"/>
  <c r="I281" i="12" s="1"/>
  <c r="I282" i="12"/>
  <c r="G315" i="12"/>
  <c r="H315" i="12" s="1"/>
  <c r="I315" i="12" s="1"/>
  <c r="N839" i="12"/>
  <c r="N427" i="12"/>
  <c r="M427" i="12"/>
  <c r="Q1302" i="12"/>
  <c r="K1476" i="12" l="1"/>
  <c r="K1478" i="12"/>
  <c r="K1481" i="12"/>
  <c r="K1485" i="12"/>
  <c r="K1482" i="12"/>
  <c r="K1486" i="12"/>
  <c r="K1479" i="12"/>
  <c r="K1483" i="12"/>
  <c r="K1487" i="12"/>
  <c r="K1480" i="12"/>
  <c r="K1484" i="12"/>
  <c r="H174" i="12"/>
  <c r="G1007" i="12"/>
  <c r="O417" i="12"/>
  <c r="O416" i="12"/>
  <c r="R416" i="12"/>
  <c r="R417" i="12"/>
  <c r="U417" i="12"/>
  <c r="U416" i="12"/>
  <c r="Q417" i="12"/>
  <c r="Q416" i="12"/>
  <c r="M417" i="12"/>
  <c r="M416" i="12"/>
  <c r="S416" i="12"/>
  <c r="S417" i="12"/>
  <c r="V416" i="12"/>
  <c r="V417" i="12"/>
  <c r="N417" i="12"/>
  <c r="N416" i="12"/>
  <c r="T416" i="12"/>
  <c r="T417" i="12"/>
  <c r="P416" i="12"/>
  <c r="P417" i="12"/>
  <c r="P1236" i="12"/>
  <c r="P219" i="12" s="1"/>
  <c r="R1234" i="12"/>
  <c r="Q1236" i="12"/>
  <c r="Q219" i="12" s="1"/>
  <c r="K1477" i="12"/>
  <c r="M1265" i="12"/>
  <c r="L1618" i="12" s="1"/>
  <c r="C1428" i="12"/>
  <c r="K1470" i="12"/>
  <c r="K1462" i="12"/>
  <c r="L1518" i="12"/>
  <c r="V1538" i="12"/>
  <c r="U1538" i="12"/>
  <c r="T1538" i="12"/>
  <c r="S1538" i="12"/>
  <c r="R1538" i="12"/>
  <c r="Q1538" i="12"/>
  <c r="P1538" i="12"/>
  <c r="O1538" i="12"/>
  <c r="N1538" i="12"/>
  <c r="M1538" i="12"/>
  <c r="N1533" i="12"/>
  <c r="P1533" i="12"/>
  <c r="Q1533" i="12"/>
  <c r="R1533" i="12"/>
  <c r="S1533" i="12"/>
  <c r="T1533" i="12"/>
  <c r="U1533" i="12"/>
  <c r="V1533" i="12"/>
  <c r="M1533" i="12"/>
  <c r="N929" i="12"/>
  <c r="O929" i="12" s="1"/>
  <c r="P929" i="12" s="1"/>
  <c r="Q929" i="12" s="1"/>
  <c r="R929" i="12" s="1"/>
  <c r="S929" i="12" s="1"/>
  <c r="T929" i="12" s="1"/>
  <c r="U929" i="12" s="1"/>
  <c r="V929" i="12" s="1"/>
  <c r="N928" i="12"/>
  <c r="O928" i="12" s="1"/>
  <c r="P928" i="12" s="1"/>
  <c r="Q928" i="12" s="1"/>
  <c r="R928" i="12" s="1"/>
  <c r="S928" i="12" s="1"/>
  <c r="T928" i="12" s="1"/>
  <c r="U928" i="12" s="1"/>
  <c r="V928" i="12" s="1"/>
  <c r="N1517" i="12"/>
  <c r="N1520" i="12" s="1"/>
  <c r="M1520" i="12"/>
  <c r="L428" i="12"/>
  <c r="D27" i="12" l="1"/>
  <c r="E1501" i="12"/>
  <c r="M1247" i="12"/>
  <c r="M1283" i="12"/>
  <c r="M1280" i="12"/>
  <c r="M1281" i="12"/>
  <c r="M1282" i="12"/>
  <c r="M1291" i="12"/>
  <c r="Q1320" i="12" s="1"/>
  <c r="M1258" i="12"/>
  <c r="M1262" i="12"/>
  <c r="M1255" i="12"/>
  <c r="M1259" i="12"/>
  <c r="M1263" i="12"/>
  <c r="M1256" i="12"/>
  <c r="M1260" i="12"/>
  <c r="M1253" i="12"/>
  <c r="M1257" i="12"/>
  <c r="M1261" i="12"/>
  <c r="S418" i="12"/>
  <c r="S420" i="12" s="1"/>
  <c r="T418" i="12"/>
  <c r="T420" i="12" s="1"/>
  <c r="Q418" i="12"/>
  <c r="Q420" i="12" s="1"/>
  <c r="O418" i="12"/>
  <c r="O420" i="12" s="1"/>
  <c r="I174" i="12"/>
  <c r="I1007" i="12" s="1"/>
  <c r="H1007" i="12"/>
  <c r="V418" i="12"/>
  <c r="V420" i="12" s="1"/>
  <c r="M418" i="12"/>
  <c r="M420" i="12" s="1"/>
  <c r="R418" i="12"/>
  <c r="R420" i="12" s="1"/>
  <c r="P418" i="12"/>
  <c r="P420" i="12" s="1"/>
  <c r="N418" i="12"/>
  <c r="N420" i="12" s="1"/>
  <c r="U418" i="12"/>
  <c r="U420" i="12" s="1"/>
  <c r="S1234" i="12"/>
  <c r="R1236" i="12"/>
  <c r="R219" i="12" s="1"/>
  <c r="M1246" i="12"/>
  <c r="N176" i="12" s="1"/>
  <c r="M1245" i="12"/>
  <c r="H10" i="12" s="1"/>
  <c r="D15" i="12" l="1"/>
  <c r="L499" i="12"/>
  <c r="N1359" i="12" s="1"/>
  <c r="K1301" i="12"/>
  <c r="K904" i="12" s="1"/>
  <c r="L501" i="12"/>
  <c r="M501" i="12" s="1"/>
  <c r="N501" i="12" s="1"/>
  <c r="O501" i="12" s="1"/>
  <c r="P501" i="12" s="1"/>
  <c r="Q501" i="12" s="1"/>
  <c r="R501" i="12" s="1"/>
  <c r="S501" i="12" s="1"/>
  <c r="T501" i="12" s="1"/>
  <c r="U501" i="12" s="1"/>
  <c r="V501" i="12" s="1"/>
  <c r="L806" i="12"/>
  <c r="L821" i="12"/>
  <c r="N1374" i="12" s="1"/>
  <c r="L792" i="12"/>
  <c r="N1373" i="12" s="1"/>
  <c r="L777" i="12"/>
  <c r="L748" i="12"/>
  <c r="L763" i="12"/>
  <c r="L719" i="12"/>
  <c r="L734" i="12"/>
  <c r="M731" i="12" s="1"/>
  <c r="L690" i="12"/>
  <c r="L705" i="12"/>
  <c r="M702" i="12" s="1"/>
  <c r="L676" i="12"/>
  <c r="M673" i="12" s="1"/>
  <c r="L661" i="12"/>
  <c r="L1559" i="12"/>
  <c r="L1565" i="12" s="1"/>
  <c r="L647" i="12"/>
  <c r="M644" i="12" s="1"/>
  <c r="L632" i="12"/>
  <c r="L618" i="12"/>
  <c r="L603" i="12"/>
  <c r="L589" i="12"/>
  <c r="L574" i="12"/>
  <c r="N206" i="12"/>
  <c r="R206" i="12"/>
  <c r="V206" i="12"/>
  <c r="O206" i="12"/>
  <c r="S206" i="12"/>
  <c r="M206" i="12"/>
  <c r="U206" i="12"/>
  <c r="P206" i="12"/>
  <c r="T206" i="12"/>
  <c r="Q206" i="12"/>
  <c r="L1572" i="12"/>
  <c r="L1309" i="12"/>
  <c r="K1309" i="12"/>
  <c r="K1304" i="12"/>
  <c r="L1304" i="12"/>
  <c r="L1307" i="12"/>
  <c r="K1307" i="12"/>
  <c r="K1308" i="12"/>
  <c r="L1308" i="12"/>
  <c r="L1303" i="12"/>
  <c r="K1303" i="12"/>
  <c r="L1310" i="12"/>
  <c r="K1310" i="12"/>
  <c r="L1305" i="12"/>
  <c r="K1305" i="12"/>
  <c r="D25" i="12"/>
  <c r="L1311" i="12"/>
  <c r="K1311" i="12"/>
  <c r="L1306" i="12"/>
  <c r="K1306" i="12"/>
  <c r="D19" i="12"/>
  <c r="D21" i="12"/>
  <c r="D22" i="12"/>
  <c r="D17" i="12"/>
  <c r="D20" i="12"/>
  <c r="D23" i="12"/>
  <c r="D18" i="12"/>
  <c r="D24" i="12"/>
  <c r="H47" i="12"/>
  <c r="H48" i="12"/>
  <c r="H49" i="12"/>
  <c r="H50" i="12"/>
  <c r="T1234" i="12"/>
  <c r="S1236" i="12"/>
  <c r="S219" i="12" s="1"/>
  <c r="E370" i="12"/>
  <c r="B370" i="12"/>
  <c r="B388" i="12" s="1"/>
  <c r="L990" i="12"/>
  <c r="M63" i="12"/>
  <c r="N63" i="12"/>
  <c r="F163" i="12"/>
  <c r="G163" i="12" s="1"/>
  <c r="H163" i="12" s="1"/>
  <c r="I163" i="12" s="1"/>
  <c r="L1409" i="12"/>
  <c r="L1415" i="12"/>
  <c r="B1414" i="12"/>
  <c r="B1408" i="12"/>
  <c r="B1459" i="12"/>
  <c r="L1389" i="12"/>
  <c r="L1110" i="12" l="1"/>
  <c r="L1123" i="12" s="1"/>
  <c r="L612" i="12"/>
  <c r="L757" i="12"/>
  <c r="N1367" i="12" s="1"/>
  <c r="L1115" i="12"/>
  <c r="L1128" i="12" s="1"/>
  <c r="M657" i="12"/>
  <c r="L1112" i="12"/>
  <c r="L1125" i="12" s="1"/>
  <c r="L670" i="12"/>
  <c r="L786" i="12"/>
  <c r="L1116" i="12"/>
  <c r="L1129" i="12" s="1"/>
  <c r="M686" i="12"/>
  <c r="L699" i="12"/>
  <c r="L1113" i="12"/>
  <c r="L1126" i="12" s="1"/>
  <c r="M802" i="12"/>
  <c r="L1117" i="12"/>
  <c r="L1130" i="12" s="1"/>
  <c r="L815" i="12"/>
  <c r="L583" i="12"/>
  <c r="N1361" i="12" s="1"/>
  <c r="L1109" i="12"/>
  <c r="L1122" i="12" s="1"/>
  <c r="M628" i="12"/>
  <c r="L641" i="12"/>
  <c r="L1111" i="12"/>
  <c r="L1124" i="12" s="1"/>
  <c r="M715" i="12"/>
  <c r="L1114" i="12"/>
  <c r="L1127" i="12" s="1"/>
  <c r="L728" i="12"/>
  <c r="L1585" i="12"/>
  <c r="L1597" i="12"/>
  <c r="K910" i="12"/>
  <c r="K908" i="12"/>
  <c r="K911" i="12"/>
  <c r="K912" i="12"/>
  <c r="K914" i="12"/>
  <c r="K913" i="12"/>
  <c r="K909" i="12"/>
  <c r="K906" i="12"/>
  <c r="J49" i="12"/>
  <c r="I49" i="12"/>
  <c r="J48" i="12"/>
  <c r="I48" i="12"/>
  <c r="J47" i="12"/>
  <c r="I47" i="12"/>
  <c r="J50" i="12"/>
  <c r="I50" i="12"/>
  <c r="K907" i="12"/>
  <c r="U1234" i="12"/>
  <c r="T1236" i="12"/>
  <c r="T219" i="12" s="1"/>
  <c r="E217" i="12"/>
  <c r="M1218" i="12" s="1"/>
  <c r="N1218" i="12" s="1"/>
  <c r="O1218" i="12" s="1"/>
  <c r="P1218" i="12" s="1"/>
  <c r="Q1218" i="12" s="1"/>
  <c r="R1218" i="12" s="1"/>
  <c r="S1218" i="12" s="1"/>
  <c r="T1218" i="12" s="1"/>
  <c r="U1218" i="12" s="1"/>
  <c r="V1218" i="12" s="1"/>
  <c r="L971" i="12"/>
  <c r="L967" i="12"/>
  <c r="N966" i="12"/>
  <c r="M966" i="12"/>
  <c r="E216" i="12"/>
  <c r="M1211" i="12" s="1"/>
  <c r="L946" i="12"/>
  <c r="L923" i="12"/>
  <c r="M577" i="12" l="1"/>
  <c r="M635" i="12"/>
  <c r="N1363" i="12"/>
  <c r="M693" i="12"/>
  <c r="N1365" i="12"/>
  <c r="M606" i="12"/>
  <c r="N1362" i="12"/>
  <c r="M664" i="12"/>
  <c r="N1364" i="12"/>
  <c r="M722" i="12"/>
  <c r="N1366" i="12"/>
  <c r="V1234" i="12"/>
  <c r="V1236" i="12" s="1"/>
  <c r="V219" i="12" s="1"/>
  <c r="U1236" i="12"/>
  <c r="U219" i="12" s="1"/>
  <c r="L69" i="12"/>
  <c r="M1190" i="12"/>
  <c r="N1190" i="12" l="1"/>
  <c r="M1215" i="12"/>
  <c r="N922" i="12"/>
  <c r="M922" i="12"/>
  <c r="N177" i="12"/>
  <c r="N1006" i="12" s="1"/>
  <c r="N989" i="12"/>
  <c r="M989" i="12"/>
  <c r="N901" i="12"/>
  <c r="M901" i="12"/>
  <c r="N1388" i="12"/>
  <c r="N303" i="12"/>
  <c r="M1388" i="12"/>
  <c r="M303" i="12"/>
  <c r="E242" i="12"/>
  <c r="E363" i="12"/>
  <c r="I303" i="12"/>
  <c r="H303" i="12"/>
  <c r="G303" i="12"/>
  <c r="F303" i="12"/>
  <c r="I242" i="12"/>
  <c r="H242" i="12"/>
  <c r="G242" i="12"/>
  <c r="F242" i="12"/>
  <c r="G363" i="12"/>
  <c r="H363" i="12"/>
  <c r="I363" i="12"/>
  <c r="F363" i="12"/>
  <c r="N242" i="12"/>
  <c r="O242" i="12" s="1"/>
  <c r="P242" i="12" s="1"/>
  <c r="Q242" i="12" s="1"/>
  <c r="R242" i="12" s="1"/>
  <c r="S242" i="12" s="1"/>
  <c r="T242" i="12" s="1"/>
  <c r="U242" i="12" s="1"/>
  <c r="V242" i="12" s="1"/>
  <c r="O363" i="12"/>
  <c r="P363" i="12" s="1"/>
  <c r="Q363" i="12" s="1"/>
  <c r="R363" i="12" s="1"/>
  <c r="S363" i="12" s="1"/>
  <c r="T363" i="12" s="1"/>
  <c r="U363" i="12" s="1"/>
  <c r="V363" i="12" s="1"/>
  <c r="N362" i="12"/>
  <c r="N405" i="12" l="1"/>
  <c r="N1102" i="12"/>
  <c r="N1171" i="12"/>
  <c r="O1190" i="12"/>
  <c r="N1215" i="12"/>
  <c r="N838" i="12"/>
  <c r="N62" i="12"/>
  <c r="N1516" i="12"/>
  <c r="N1387" i="12"/>
  <c r="N965" i="12"/>
  <c r="N921" i="12"/>
  <c r="N988" i="12"/>
  <c r="N900" i="12"/>
  <c r="N302" i="12"/>
  <c r="P1190" i="12" l="1"/>
  <c r="Q1190" i="12" s="1"/>
  <c r="R1190" i="12" s="1"/>
  <c r="S1190" i="12" s="1"/>
  <c r="T1190" i="12" s="1"/>
  <c r="U1190" i="12" s="1"/>
  <c r="V1190" i="12" s="1"/>
  <c r="P1213" i="12" l="1"/>
  <c r="O1215" i="12"/>
  <c r="Q1213" i="12" l="1"/>
  <c r="P1215" i="12"/>
  <c r="Q1215" i="12" l="1"/>
  <c r="R1213" i="12"/>
  <c r="S1213" i="12" l="1"/>
  <c r="R1215" i="12"/>
  <c r="T1213" i="12" l="1"/>
  <c r="S1215" i="12"/>
  <c r="T1215" i="12" l="1"/>
  <c r="U1213" i="12"/>
  <c r="U1215" i="12" l="1"/>
  <c r="V1213" i="12"/>
  <c r="V1215" i="12" s="1"/>
  <c r="N183" i="12" l="1"/>
  <c r="O183" i="12" s="1"/>
  <c r="P183" i="12" s="1"/>
  <c r="Q183" i="12" s="1"/>
  <c r="R183" i="12" s="1"/>
  <c r="S183" i="12" s="1"/>
  <c r="T183" i="12" s="1"/>
  <c r="U183" i="12" s="1"/>
  <c r="V183" i="12" s="1"/>
  <c r="O177" i="12"/>
  <c r="G334" i="12"/>
  <c r="H334" i="12"/>
  <c r="I334" i="12"/>
  <c r="F334" i="12"/>
  <c r="F336" i="12" s="1"/>
  <c r="F382" i="12"/>
  <c r="G382" i="12"/>
  <c r="H382" i="12"/>
  <c r="I382" i="12"/>
  <c r="E383" i="12"/>
  <c r="E382" i="12"/>
  <c r="E388" i="12" s="1"/>
  <c r="O148" i="12"/>
  <c r="B1194" i="12"/>
  <c r="H11" i="12" s="1"/>
  <c r="F148" i="12"/>
  <c r="F182" i="12"/>
  <c r="G182" i="12" s="1"/>
  <c r="H182" i="12" s="1"/>
  <c r="I182" i="12" s="1"/>
  <c r="F183" i="12"/>
  <c r="G183" i="12" s="1"/>
  <c r="H183" i="12" s="1"/>
  <c r="I183" i="12" s="1"/>
  <c r="F181" i="12"/>
  <c r="G181" i="12" s="1"/>
  <c r="H181" i="12" s="1"/>
  <c r="F173" i="12"/>
  <c r="F189" i="12" s="1"/>
  <c r="F176" i="12"/>
  <c r="G176" i="12" s="1"/>
  <c r="H176" i="12" s="1"/>
  <c r="I176" i="12" s="1"/>
  <c r="F177" i="12"/>
  <c r="F161" i="12"/>
  <c r="F164" i="12"/>
  <c r="G164" i="12" s="1"/>
  <c r="H164" i="12" s="1"/>
  <c r="I164" i="12" s="1"/>
  <c r="F165" i="12"/>
  <c r="G165" i="12" s="1"/>
  <c r="H165" i="12" s="1"/>
  <c r="I165" i="12" s="1"/>
  <c r="F166" i="12"/>
  <c r="G166" i="12" s="1"/>
  <c r="H166" i="12" s="1"/>
  <c r="I166" i="12" s="1"/>
  <c r="F167" i="12"/>
  <c r="G167" i="12" s="1"/>
  <c r="H167" i="12" s="1"/>
  <c r="I167" i="12" s="1"/>
  <c r="F168" i="12"/>
  <c r="G168" i="12" s="1"/>
  <c r="H168" i="12" s="1"/>
  <c r="I168" i="12" s="1"/>
  <c r="F169" i="12"/>
  <c r="G169" i="12" s="1"/>
  <c r="H169" i="12" s="1"/>
  <c r="I169" i="12" s="1"/>
  <c r="E218" i="12"/>
  <c r="F310" i="12"/>
  <c r="E215" i="12"/>
  <c r="E214" i="12"/>
  <c r="E146" i="12"/>
  <c r="E152" i="12"/>
  <c r="E154" i="12" s="1"/>
  <c r="K30" i="12"/>
  <c r="K32" i="12"/>
  <c r="K31" i="12"/>
  <c r="L364" i="12"/>
  <c r="L243" i="12"/>
  <c r="J243" i="12"/>
  <c r="E1328" i="12" s="1"/>
  <c r="J364" i="12"/>
  <c r="F290" i="12"/>
  <c r="G290" i="12" s="1"/>
  <c r="H290" i="12" s="1"/>
  <c r="G341" i="12"/>
  <c r="H341" i="12" s="1"/>
  <c r="I341" i="12" s="1"/>
  <c r="G342" i="12"/>
  <c r="H342" i="12" s="1"/>
  <c r="I342" i="12" s="1"/>
  <c r="G343" i="12"/>
  <c r="H343" i="12" s="1"/>
  <c r="I343" i="12" s="1"/>
  <c r="G344" i="12"/>
  <c r="H344" i="12" s="1"/>
  <c r="I344" i="12" s="1"/>
  <c r="G345" i="12"/>
  <c r="H345" i="12" s="1"/>
  <c r="I345" i="12" s="1"/>
  <c r="G346" i="12"/>
  <c r="H346" i="12" s="1"/>
  <c r="I346" i="12" s="1"/>
  <c r="G347" i="12"/>
  <c r="H347" i="12" s="1"/>
  <c r="I347" i="12" s="1"/>
  <c r="G350" i="12"/>
  <c r="H350" i="12" s="1"/>
  <c r="I350" i="12" s="1"/>
  <c r="G351" i="12"/>
  <c r="H351" i="12" s="1"/>
  <c r="I351" i="12" s="1"/>
  <c r="G340" i="12"/>
  <c r="G335" i="12"/>
  <c r="G317" i="12"/>
  <c r="H317" i="12" s="1"/>
  <c r="I317" i="12" s="1"/>
  <c r="G318" i="12"/>
  <c r="H318" i="12" s="1"/>
  <c r="I318" i="12" s="1"/>
  <c r="G319" i="12"/>
  <c r="H319" i="12" s="1"/>
  <c r="I319" i="12" s="1"/>
  <c r="G322" i="12"/>
  <c r="H322" i="12" s="1"/>
  <c r="I322" i="12" s="1"/>
  <c r="G323" i="12"/>
  <c r="H323" i="12" s="1"/>
  <c r="I323" i="12" s="1"/>
  <c r="G311" i="12"/>
  <c r="H311" i="12" s="1"/>
  <c r="F288" i="12"/>
  <c r="G288" i="12" s="1"/>
  <c r="H288" i="12" s="1"/>
  <c r="I288" i="12" s="1"/>
  <c r="F289" i="12"/>
  <c r="G289" i="12" s="1"/>
  <c r="H289" i="12" s="1"/>
  <c r="I289" i="12" s="1"/>
  <c r="F287" i="12"/>
  <c r="F274" i="12"/>
  <c r="F273" i="12"/>
  <c r="F275" i="12"/>
  <c r="G275" i="12" s="1"/>
  <c r="H275" i="12" s="1"/>
  <c r="I275" i="12" s="1"/>
  <c r="F276" i="12"/>
  <c r="G276" i="12" s="1"/>
  <c r="H276" i="12" s="1"/>
  <c r="I276" i="12" s="1"/>
  <c r="F277" i="12"/>
  <c r="G277" i="12" s="1"/>
  <c r="H277" i="12" s="1"/>
  <c r="I277" i="12" s="1"/>
  <c r="F278" i="12"/>
  <c r="G278" i="12" s="1"/>
  <c r="H278" i="12" s="1"/>
  <c r="I278" i="12" s="1"/>
  <c r="F279" i="12"/>
  <c r="G279" i="12" s="1"/>
  <c r="H279" i="12" s="1"/>
  <c r="I279" i="12" s="1"/>
  <c r="F280" i="12"/>
  <c r="G280" i="12" s="1"/>
  <c r="H280" i="12" s="1"/>
  <c r="I280" i="12" s="1"/>
  <c r="F285" i="12"/>
  <c r="F328" i="12" s="1"/>
  <c r="F272" i="12"/>
  <c r="G272" i="12" s="1"/>
  <c r="H272" i="12" s="1"/>
  <c r="I272" i="12" s="1"/>
  <c r="F260" i="12"/>
  <c r="G260" i="12" s="1"/>
  <c r="H260" i="12" s="1"/>
  <c r="I260" i="12" s="1"/>
  <c r="F257" i="12"/>
  <c r="G257" i="12" s="1"/>
  <c r="H257" i="12" s="1"/>
  <c r="F261" i="12"/>
  <c r="F258" i="12"/>
  <c r="G258" i="12" s="1"/>
  <c r="H258" i="12" s="1"/>
  <c r="I258" i="12" s="1"/>
  <c r="F534" i="12" l="1"/>
  <c r="F536" i="12" s="1"/>
  <c r="F878" i="12" s="1"/>
  <c r="F876" i="12"/>
  <c r="O1175" i="12"/>
  <c r="O1192" i="12" s="1"/>
  <c r="P1192" i="12" s="1"/>
  <c r="Q1192" i="12" s="1"/>
  <c r="R1192" i="12" s="1"/>
  <c r="S1192" i="12" s="1"/>
  <c r="T1192" i="12" s="1"/>
  <c r="U1192" i="12" s="1"/>
  <c r="V1192" i="12" s="1"/>
  <c r="O176" i="12"/>
  <c r="F210" i="12"/>
  <c r="E990" i="12"/>
  <c r="E1104" i="12"/>
  <c r="F1027" i="12"/>
  <c r="G261" i="12"/>
  <c r="G327" i="12" s="1"/>
  <c r="F327" i="12"/>
  <c r="P177" i="12"/>
  <c r="O1006" i="12"/>
  <c r="G177" i="12"/>
  <c r="F1006" i="12"/>
  <c r="G161" i="12"/>
  <c r="H161" i="12" s="1"/>
  <c r="G173" i="12"/>
  <c r="G189" i="12" s="1"/>
  <c r="G273" i="12"/>
  <c r="F283" i="12"/>
  <c r="M1204" i="12"/>
  <c r="M1197" i="12"/>
  <c r="N1197" i="12" s="1"/>
  <c r="O1197" i="12" s="1"/>
  <c r="P1197" i="12" s="1"/>
  <c r="Q1197" i="12" s="1"/>
  <c r="R1197" i="12" s="1"/>
  <c r="S1197" i="12" s="1"/>
  <c r="T1197" i="12" s="1"/>
  <c r="U1197" i="12" s="1"/>
  <c r="V1197" i="12" s="1"/>
  <c r="M1225" i="12"/>
  <c r="G274" i="12"/>
  <c r="H340" i="12"/>
  <c r="G353" i="12"/>
  <c r="I311" i="12"/>
  <c r="H335" i="12"/>
  <c r="G336" i="12"/>
  <c r="G310" i="12"/>
  <c r="F217" i="12"/>
  <c r="F216" i="12"/>
  <c r="F309" i="12"/>
  <c r="E156" i="12"/>
  <c r="E226" i="12" s="1"/>
  <c r="P148" i="12"/>
  <c r="F146" i="12"/>
  <c r="E243" i="12"/>
  <c r="E364" i="12"/>
  <c r="F259" i="12"/>
  <c r="G148" i="12"/>
  <c r="G534" i="12" s="1"/>
  <c r="G536" i="12" s="1"/>
  <c r="G878" i="12" s="1"/>
  <c r="I181" i="12"/>
  <c r="E225" i="12"/>
  <c r="N1211" i="12" s="1"/>
  <c r="O1211" i="12" s="1"/>
  <c r="P1211" i="12" s="1"/>
  <c r="Q1211" i="12" s="1"/>
  <c r="R1211" i="12" s="1"/>
  <c r="S1211" i="12" s="1"/>
  <c r="T1211" i="12" s="1"/>
  <c r="U1211" i="12" s="1"/>
  <c r="V1211" i="12" s="1"/>
  <c r="E224" i="12"/>
  <c r="K33" i="12"/>
  <c r="G285" i="12"/>
  <c r="H285" i="12" s="1"/>
  <c r="I285" i="12" s="1"/>
  <c r="I328" i="12" s="1"/>
  <c r="I290" i="12"/>
  <c r="G287" i="12"/>
  <c r="I257" i="12"/>
  <c r="P1175" i="12" l="1"/>
  <c r="P176" i="12"/>
  <c r="F162" i="12"/>
  <c r="F172" i="12" s="1"/>
  <c r="F178" i="12" s="1"/>
  <c r="G162" i="12"/>
  <c r="G172" i="12" s="1"/>
  <c r="G178" i="12" s="1"/>
  <c r="G210" i="12"/>
  <c r="F1104" i="12"/>
  <c r="G1027" i="12"/>
  <c r="H261" i="12"/>
  <c r="H327" i="12" s="1"/>
  <c r="F990" i="12"/>
  <c r="F407" i="12"/>
  <c r="Q177" i="12"/>
  <c r="P1006" i="12"/>
  <c r="H177" i="12"/>
  <c r="G1006" i="12"/>
  <c r="H173" i="12"/>
  <c r="H189" i="12" s="1"/>
  <c r="H273" i="12"/>
  <c r="G283" i="12"/>
  <c r="N1225" i="12"/>
  <c r="N1204" i="12"/>
  <c r="H274" i="12"/>
  <c r="I340" i="12"/>
  <c r="I353" i="12" s="1"/>
  <c r="H353" i="12"/>
  <c r="I335" i="12"/>
  <c r="I336" i="12" s="1"/>
  <c r="H336" i="12"/>
  <c r="M840" i="12"/>
  <c r="G259" i="12"/>
  <c r="H310" i="12"/>
  <c r="G217" i="12"/>
  <c r="G309" i="12"/>
  <c r="G216" i="12"/>
  <c r="E159" i="12"/>
  <c r="E178" i="12" s="1"/>
  <c r="Q148" i="12"/>
  <c r="G146" i="12"/>
  <c r="F364" i="12"/>
  <c r="F304" i="12"/>
  <c r="F243" i="12"/>
  <c r="M146" i="12"/>
  <c r="F152" i="12"/>
  <c r="F383" i="12"/>
  <c r="K34" i="12"/>
  <c r="M838" i="12" s="1"/>
  <c r="H148" i="12"/>
  <c r="H534" i="12" s="1"/>
  <c r="H536" i="12" s="1"/>
  <c r="H878" i="12" s="1"/>
  <c r="I161" i="12"/>
  <c r="H328" i="12"/>
  <c r="G328" i="12"/>
  <c r="H287" i="12"/>
  <c r="Q1175" i="12" l="1"/>
  <c r="Q176" i="12"/>
  <c r="E231" i="12"/>
  <c r="F1004" i="12"/>
  <c r="H162" i="12"/>
  <c r="H172" i="12" s="1"/>
  <c r="H210" i="12"/>
  <c r="G1104" i="12"/>
  <c r="M364" i="12"/>
  <c r="M407" i="12"/>
  <c r="M1104" i="12"/>
  <c r="H1027" i="12"/>
  <c r="I261" i="12"/>
  <c r="I327" i="12" s="1"/>
  <c r="G990" i="12"/>
  <c r="G407" i="12"/>
  <c r="R177" i="12"/>
  <c r="Q1006" i="12"/>
  <c r="I177" i="12"/>
  <c r="I1006" i="12" s="1"/>
  <c r="H1006" i="12"/>
  <c r="G1004" i="12"/>
  <c r="I173" i="12"/>
  <c r="I189" i="12" s="1"/>
  <c r="I273" i="12"/>
  <c r="H283" i="12"/>
  <c r="M1173" i="12"/>
  <c r="L1173" i="12" s="1"/>
  <c r="G152" i="12"/>
  <c r="G224" i="12" s="1"/>
  <c r="F154" i="12"/>
  <c r="I274" i="12"/>
  <c r="O1225" i="12"/>
  <c r="O1204" i="12"/>
  <c r="M1518" i="12"/>
  <c r="M428" i="12"/>
  <c r="M967" i="12"/>
  <c r="M64" i="12"/>
  <c r="H259" i="12"/>
  <c r="I310" i="12"/>
  <c r="H217" i="12"/>
  <c r="H309" i="12"/>
  <c r="H216" i="12"/>
  <c r="E227" i="12"/>
  <c r="R148" i="12"/>
  <c r="M923" i="12"/>
  <c r="M902" i="12"/>
  <c r="M990" i="12"/>
  <c r="M1389" i="12"/>
  <c r="M304" i="12"/>
  <c r="H146" i="12"/>
  <c r="G304" i="12"/>
  <c r="G243" i="12"/>
  <c r="G364" i="12"/>
  <c r="M144" i="12"/>
  <c r="M148" i="12"/>
  <c r="M824" i="12" s="1"/>
  <c r="F224" i="12"/>
  <c r="N146" i="12"/>
  <c r="M243" i="12"/>
  <c r="I148" i="12"/>
  <c r="I287" i="12"/>
  <c r="H1004" i="12" l="1"/>
  <c r="H178" i="12"/>
  <c r="I210" i="12"/>
  <c r="I534" i="12"/>
  <c r="I536" i="12" s="1"/>
  <c r="I878" i="12" s="1"/>
  <c r="I162" i="12" s="1"/>
  <c r="I172" i="12" s="1"/>
  <c r="M708" i="12"/>
  <c r="M737" i="12"/>
  <c r="M650" i="12"/>
  <c r="M679" i="12"/>
  <c r="M703" i="12"/>
  <c r="M709" i="12" s="1"/>
  <c r="M732" i="12"/>
  <c r="M738" i="12" s="1"/>
  <c r="M645" i="12"/>
  <c r="M651" i="12" s="1"/>
  <c r="M674" i="12"/>
  <c r="M680" i="12" s="1"/>
  <c r="M436" i="12"/>
  <c r="N436" i="12" s="1"/>
  <c r="M176" i="12"/>
  <c r="R1175" i="12"/>
  <c r="R176" i="12"/>
  <c r="M433" i="12"/>
  <c r="N433" i="12" s="1"/>
  <c r="M914" i="12"/>
  <c r="M913" i="12"/>
  <c r="H1104" i="12"/>
  <c r="M435" i="12"/>
  <c r="M439" i="12"/>
  <c r="M443" i="12"/>
  <c r="M442" i="12"/>
  <c r="M440" i="12"/>
  <c r="M438" i="12"/>
  <c r="M437" i="12"/>
  <c r="M441" i="12"/>
  <c r="M432" i="12"/>
  <c r="N432" i="12" s="1"/>
  <c r="M434" i="12"/>
  <c r="N364" i="12"/>
  <c r="M362" i="12"/>
  <c r="P455" i="12"/>
  <c r="P456" i="12"/>
  <c r="M455" i="12"/>
  <c r="Q455" i="12"/>
  <c r="M456" i="12"/>
  <c r="Q456" i="12"/>
  <c r="N455" i="12"/>
  <c r="R455" i="12"/>
  <c r="N456" i="12"/>
  <c r="R456" i="12"/>
  <c r="O455" i="12"/>
  <c r="O456" i="12"/>
  <c r="N407" i="12"/>
  <c r="N1104" i="12"/>
  <c r="M405" i="12"/>
  <c r="M1102" i="12"/>
  <c r="I1027" i="12"/>
  <c r="H990" i="12"/>
  <c r="H407" i="12"/>
  <c r="S177" i="12"/>
  <c r="R1006" i="12"/>
  <c r="F225" i="12"/>
  <c r="F1000" i="12"/>
  <c r="I283" i="12"/>
  <c r="N1173" i="12"/>
  <c r="M1171" i="12"/>
  <c r="F156" i="12"/>
  <c r="F158" i="12" s="1"/>
  <c r="F188" i="12" s="1"/>
  <c r="G383" i="12"/>
  <c r="P1204" i="12"/>
  <c r="P1225" i="12"/>
  <c r="M1175" i="12"/>
  <c r="M911" i="12"/>
  <c r="M912" i="12"/>
  <c r="Q453" i="12"/>
  <c r="Q454" i="12"/>
  <c r="P453" i="12"/>
  <c r="P454" i="12"/>
  <c r="M453" i="12"/>
  <c r="M454" i="12"/>
  <c r="N454" i="12"/>
  <c r="O454" i="12"/>
  <c r="N453" i="12"/>
  <c r="O453" i="12"/>
  <c r="R453" i="12"/>
  <c r="R454" i="12"/>
  <c r="M447" i="12"/>
  <c r="Q447" i="12"/>
  <c r="O448" i="12"/>
  <c r="M449" i="12"/>
  <c r="Q449" i="12"/>
  <c r="O450" i="12"/>
  <c r="M451" i="12"/>
  <c r="Q451" i="12"/>
  <c r="O452" i="12"/>
  <c r="N447" i="12"/>
  <c r="R447" i="12"/>
  <c r="P448" i="12"/>
  <c r="N449" i="12"/>
  <c r="R449" i="12"/>
  <c r="P450" i="12"/>
  <c r="N451" i="12"/>
  <c r="R451" i="12"/>
  <c r="P452" i="12"/>
  <c r="O447" i="12"/>
  <c r="M448" i="12"/>
  <c r="Q448" i="12"/>
  <c r="O449" i="12"/>
  <c r="M450" i="12"/>
  <c r="Q450" i="12"/>
  <c r="O451" i="12"/>
  <c r="M452" i="12"/>
  <c r="Q452" i="12"/>
  <c r="P447" i="12"/>
  <c r="N448" i="12"/>
  <c r="R448" i="12"/>
  <c r="P449" i="12"/>
  <c r="N450" i="12"/>
  <c r="R450" i="12"/>
  <c r="P451" i="12"/>
  <c r="N452" i="12"/>
  <c r="R452" i="12"/>
  <c r="N1518" i="12"/>
  <c r="N428" i="12"/>
  <c r="N840" i="12"/>
  <c r="M1516" i="12"/>
  <c r="M426" i="12"/>
  <c r="M947" i="12"/>
  <c r="M972" i="12"/>
  <c r="N967" i="12"/>
  <c r="N64" i="12"/>
  <c r="M965" i="12"/>
  <c r="M62" i="12"/>
  <c r="I259" i="12"/>
  <c r="I217" i="12"/>
  <c r="E235" i="12"/>
  <c r="E189" i="12" s="1"/>
  <c r="E180" i="12"/>
  <c r="I309" i="12"/>
  <c r="I216" i="12"/>
  <c r="S148" i="12"/>
  <c r="N923" i="12"/>
  <c r="M921" i="12"/>
  <c r="M900" i="12"/>
  <c r="M988" i="12"/>
  <c r="N902" i="12"/>
  <c r="N990" i="12"/>
  <c r="N304" i="12"/>
  <c r="N1389" i="12"/>
  <c r="M1387" i="12"/>
  <c r="M302" i="12"/>
  <c r="I146" i="12"/>
  <c r="H364" i="12"/>
  <c r="H304" i="12"/>
  <c r="H243" i="12"/>
  <c r="G154" i="12"/>
  <c r="G1000" i="12" s="1"/>
  <c r="M150" i="12"/>
  <c r="H152" i="12"/>
  <c r="H154" i="12" s="1"/>
  <c r="H383" i="12"/>
  <c r="I152" i="12"/>
  <c r="I224" i="12" s="1"/>
  <c r="I383" i="12"/>
  <c r="O146" i="12"/>
  <c r="N243" i="12"/>
  <c r="I1004" i="12" l="1"/>
  <c r="I178" i="12"/>
  <c r="M739" i="12"/>
  <c r="M886" i="12" s="1"/>
  <c r="M710" i="12"/>
  <c r="M885" i="12" s="1"/>
  <c r="M681" i="12"/>
  <c r="M884" i="12" s="1"/>
  <c r="M652" i="12"/>
  <c r="M883" i="12" s="1"/>
  <c r="M636" i="12"/>
  <c r="M723" i="12"/>
  <c r="M694" i="12"/>
  <c r="N443" i="12"/>
  <c r="M804" i="12"/>
  <c r="M474" i="12" s="1"/>
  <c r="N442" i="12"/>
  <c r="N441" i="12"/>
  <c r="N440" i="12"/>
  <c r="M717" i="12"/>
  <c r="M471" i="12" s="1"/>
  <c r="N439" i="12"/>
  <c r="M688" i="12"/>
  <c r="M470" i="12" s="1"/>
  <c r="N438" i="12"/>
  <c r="M659" i="12"/>
  <c r="M665" i="12"/>
  <c r="N437" i="12"/>
  <c r="M630" i="12"/>
  <c r="M468" i="12" s="1"/>
  <c r="N435" i="12"/>
  <c r="N434" i="12"/>
  <c r="S1175" i="12"/>
  <c r="S176" i="12"/>
  <c r="E187" i="12"/>
  <c r="E188" i="12"/>
  <c r="E996" i="12"/>
  <c r="M214" i="12"/>
  <c r="M151" i="12" s="1"/>
  <c r="N913" i="12"/>
  <c r="O913" i="12" s="1"/>
  <c r="N914" i="12"/>
  <c r="O914" i="12" s="1"/>
  <c r="P914" i="12" s="1"/>
  <c r="N911" i="12"/>
  <c r="O911" i="12" s="1"/>
  <c r="N912" i="12"/>
  <c r="O912" i="12" s="1"/>
  <c r="I1104" i="12"/>
  <c r="S456" i="12"/>
  <c r="S455" i="12"/>
  <c r="O407" i="12"/>
  <c r="O1104" i="12"/>
  <c r="T177" i="12"/>
  <c r="S1006" i="12"/>
  <c r="H156" i="12"/>
  <c r="H158" i="12" s="1"/>
  <c r="H1000" i="12"/>
  <c r="I990" i="12"/>
  <c r="J1027" i="12" s="1"/>
  <c r="L1027" i="12" s="1"/>
  <c r="M1027" i="12" s="1"/>
  <c r="I407" i="12"/>
  <c r="F218" i="12"/>
  <c r="F1003" i="12"/>
  <c r="F1008" i="12" s="1"/>
  <c r="F1031" i="12" s="1"/>
  <c r="F226" i="12"/>
  <c r="O1173" i="12"/>
  <c r="F312" i="12"/>
  <c r="F324" i="12" s="1"/>
  <c r="O36" i="12"/>
  <c r="F291" i="12"/>
  <c r="G156" i="12"/>
  <c r="L68" i="12"/>
  <c r="M980" i="12"/>
  <c r="M957" i="12"/>
  <c r="M205" i="12"/>
  <c r="M1192" i="12"/>
  <c r="N1192" i="12"/>
  <c r="Q1204" i="12"/>
  <c r="Q1225" i="12"/>
  <c r="M382" i="12"/>
  <c r="M158" i="12"/>
  <c r="M188" i="12" s="1"/>
  <c r="S454" i="12"/>
  <c r="S447" i="12"/>
  <c r="S450" i="12"/>
  <c r="S453" i="12"/>
  <c r="S449" i="12"/>
  <c r="S452" i="12"/>
  <c r="S448" i="12"/>
  <c r="S451" i="12"/>
  <c r="O1518" i="12"/>
  <c r="O428" i="12"/>
  <c r="O840" i="12"/>
  <c r="N947" i="12"/>
  <c r="N972" i="12"/>
  <c r="O972" i="12" s="1"/>
  <c r="O967" i="12"/>
  <c r="O64" i="12"/>
  <c r="E184" i="12"/>
  <c r="T148" i="12"/>
  <c r="O923" i="12"/>
  <c r="O902" i="12"/>
  <c r="O990" i="12"/>
  <c r="O304" i="12"/>
  <c r="O1389" i="12"/>
  <c r="I304" i="12"/>
  <c r="I243" i="12"/>
  <c r="I364" i="12"/>
  <c r="G225" i="12"/>
  <c r="I154" i="12"/>
  <c r="H224" i="12"/>
  <c r="O364" i="12"/>
  <c r="P146" i="12"/>
  <c r="O243" i="12"/>
  <c r="F227" i="12"/>
  <c r="H225" i="12"/>
  <c r="M667" i="12" l="1"/>
  <c r="M469" i="12"/>
  <c r="M696" i="12"/>
  <c r="M638" i="12"/>
  <c r="T455" i="12"/>
  <c r="T176" i="12"/>
  <c r="H1003" i="12"/>
  <c r="H1008" i="12" s="1"/>
  <c r="H188" i="12"/>
  <c r="E191" i="12"/>
  <c r="E228" i="12"/>
  <c r="E232" i="12"/>
  <c r="M927" i="12"/>
  <c r="M932" i="12" s="1"/>
  <c r="N932" i="12" s="1"/>
  <c r="O932" i="12" s="1"/>
  <c r="P932" i="12" s="1"/>
  <c r="Q932" i="12" s="1"/>
  <c r="M69" i="12"/>
  <c r="E1145" i="12"/>
  <c r="E1133" i="12"/>
  <c r="F27" i="12"/>
  <c r="F22" i="12"/>
  <c r="F25" i="12"/>
  <c r="F23" i="12"/>
  <c r="F24" i="12"/>
  <c r="Q914" i="12"/>
  <c r="R914" i="12" s="1"/>
  <c r="J1163" i="12"/>
  <c r="K1163" i="12" s="1"/>
  <c r="P913" i="12"/>
  <c r="Q913" i="12" s="1"/>
  <c r="R913" i="12" s="1"/>
  <c r="P912" i="12"/>
  <c r="Q912" i="12" s="1"/>
  <c r="P911" i="12"/>
  <c r="J1162" i="12"/>
  <c r="T456" i="12"/>
  <c r="E1143" i="12"/>
  <c r="E1139" i="12"/>
  <c r="E1135" i="12"/>
  <c r="E1140" i="12"/>
  <c r="E1142" i="12"/>
  <c r="E1138" i="12"/>
  <c r="E1134" i="12"/>
  <c r="E1141" i="12"/>
  <c r="E1137" i="12"/>
  <c r="E1136" i="12"/>
  <c r="P407" i="12"/>
  <c r="P1104" i="12"/>
  <c r="M1032" i="12"/>
  <c r="N1027" i="12"/>
  <c r="F1038" i="12"/>
  <c r="F1032" i="12"/>
  <c r="F1033" i="12" s="1"/>
  <c r="F1044" i="12"/>
  <c r="F1045" i="12" s="1"/>
  <c r="F1009" i="12" s="1"/>
  <c r="F1010" i="12" s="1"/>
  <c r="F1011" i="12" s="1"/>
  <c r="F1015" i="12" s="1"/>
  <c r="H218" i="12"/>
  <c r="U177" i="12"/>
  <c r="T1006" i="12"/>
  <c r="I156" i="12"/>
  <c r="I158" i="12" s="1"/>
  <c r="I1000" i="12"/>
  <c r="H312" i="12"/>
  <c r="H324" i="12" s="1"/>
  <c r="M312" i="12"/>
  <c r="M1003" i="12"/>
  <c r="P1173" i="12"/>
  <c r="G158" i="12"/>
  <c r="G188" i="12" s="1"/>
  <c r="G226" i="12"/>
  <c r="M334" i="12"/>
  <c r="R1204" i="12"/>
  <c r="T448" i="12"/>
  <c r="T1175" i="12"/>
  <c r="R1225" i="12"/>
  <c r="J281" i="12"/>
  <c r="J282" i="12"/>
  <c r="T453" i="12"/>
  <c r="T454" i="12"/>
  <c r="T449" i="12"/>
  <c r="T451" i="12"/>
  <c r="T450" i="12"/>
  <c r="T447" i="12"/>
  <c r="T452" i="12"/>
  <c r="P1518" i="12"/>
  <c r="P840" i="12"/>
  <c r="P428" i="12"/>
  <c r="O947" i="12"/>
  <c r="P947" i="12" s="1"/>
  <c r="Q947" i="12" s="1"/>
  <c r="P972" i="12"/>
  <c r="Q972" i="12" s="1"/>
  <c r="P967" i="12"/>
  <c r="P64" i="12"/>
  <c r="U148" i="12"/>
  <c r="P923" i="12"/>
  <c r="P902" i="12"/>
  <c r="P990" i="12"/>
  <c r="P1389" i="12"/>
  <c r="P304" i="12"/>
  <c r="Q146" i="12"/>
  <c r="I225" i="12"/>
  <c r="P243" i="12"/>
  <c r="P364" i="12"/>
  <c r="G227" i="12"/>
  <c r="H227" i="12"/>
  <c r="H226" i="12"/>
  <c r="I227" i="12"/>
  <c r="U1175" i="12" l="1"/>
  <c r="U176" i="12"/>
  <c r="I1003" i="12"/>
  <c r="I1008" i="12" s="1"/>
  <c r="I188" i="12"/>
  <c r="M1401" i="12"/>
  <c r="E1148" i="12"/>
  <c r="P14" i="12"/>
  <c r="L1163" i="12"/>
  <c r="M1163" i="12" s="1"/>
  <c r="N1163" i="12" s="1"/>
  <c r="O1163" i="12" s="1"/>
  <c r="P1163" i="12" s="1"/>
  <c r="Q1163" i="12" s="1"/>
  <c r="R1163" i="12" s="1"/>
  <c r="S1163" i="12" s="1"/>
  <c r="T1163" i="12" s="1"/>
  <c r="U1163" i="12" s="1"/>
  <c r="V1163" i="12" s="1"/>
  <c r="E1367" i="12"/>
  <c r="I1367" i="12" s="1"/>
  <c r="K1367" i="12" s="1"/>
  <c r="E1366" i="12"/>
  <c r="I1366" i="12" s="1"/>
  <c r="K1366" i="12" s="1"/>
  <c r="S913" i="12"/>
  <c r="T913" i="12" s="1"/>
  <c r="U913" i="12" s="1"/>
  <c r="V913" i="12" s="1"/>
  <c r="S914" i="12"/>
  <c r="T914" i="12" s="1"/>
  <c r="U914" i="12" s="1"/>
  <c r="V914" i="12" s="1"/>
  <c r="Q911" i="12"/>
  <c r="R911" i="12" s="1"/>
  <c r="S911" i="12" s="1"/>
  <c r="T911" i="12" s="1"/>
  <c r="R912" i="12"/>
  <c r="S912" i="12" s="1"/>
  <c r="U456" i="12"/>
  <c r="U455" i="12"/>
  <c r="E1150" i="12"/>
  <c r="E1154" i="12"/>
  <c r="E1158" i="12"/>
  <c r="E1155" i="12"/>
  <c r="E1152" i="12"/>
  <c r="E1149" i="12"/>
  <c r="E1153" i="12"/>
  <c r="E1157" i="12"/>
  <c r="E1151" i="12"/>
  <c r="E1156" i="12"/>
  <c r="E229" i="12"/>
  <c r="Q407" i="12"/>
  <c r="Q1104" i="12"/>
  <c r="O1027" i="12"/>
  <c r="N1032" i="12"/>
  <c r="F1037" i="12"/>
  <c r="F1039" i="12" s="1"/>
  <c r="G1036" i="12" s="1"/>
  <c r="G1030" i="12"/>
  <c r="F1052" i="12"/>
  <c r="F1053" i="12" s="1"/>
  <c r="G1051" i="12" s="1"/>
  <c r="H1044" i="12"/>
  <c r="F1047" i="12"/>
  <c r="G1043" i="12" s="1"/>
  <c r="I226" i="12"/>
  <c r="I218" i="12"/>
  <c r="F1062" i="12"/>
  <c r="I312" i="12"/>
  <c r="I324" i="12" s="1"/>
  <c r="V177" i="12"/>
  <c r="V1006" i="12" s="1"/>
  <c r="U1006" i="12"/>
  <c r="F1012" i="12"/>
  <c r="F1061" i="12" s="1"/>
  <c r="G218" i="12"/>
  <c r="G1003" i="12"/>
  <c r="G1008" i="12" s="1"/>
  <c r="Q1173" i="12"/>
  <c r="G312" i="12"/>
  <c r="G324" i="12" s="1"/>
  <c r="G291" i="12"/>
  <c r="H291" i="12" s="1"/>
  <c r="I291" i="12" s="1"/>
  <c r="S1225" i="12"/>
  <c r="S1204" i="12"/>
  <c r="U454" i="12"/>
  <c r="U453" i="12"/>
  <c r="U450" i="12"/>
  <c r="U448" i="12"/>
  <c r="U452" i="12"/>
  <c r="U449" i="12"/>
  <c r="U447" i="12"/>
  <c r="U451" i="12"/>
  <c r="Q1518" i="12"/>
  <c r="Q428" i="12"/>
  <c r="Q840" i="12"/>
  <c r="R947" i="12"/>
  <c r="S947" i="12" s="1"/>
  <c r="R972" i="12"/>
  <c r="S972" i="12" s="1"/>
  <c r="T972" i="12" s="1"/>
  <c r="U972" i="12" s="1"/>
  <c r="Q967" i="12"/>
  <c r="Q64" i="12"/>
  <c r="R932" i="12"/>
  <c r="S932" i="12" s="1"/>
  <c r="V148" i="12"/>
  <c r="Q923" i="12"/>
  <c r="Q902" i="12"/>
  <c r="Q990" i="12"/>
  <c r="Q1389" i="12"/>
  <c r="Q304" i="12"/>
  <c r="Q364" i="12"/>
  <c r="R146" i="12"/>
  <c r="Q243" i="12"/>
  <c r="V1175" i="12" l="1"/>
  <c r="V176" i="12"/>
  <c r="O1366" i="12"/>
  <c r="L281" i="12" s="1"/>
  <c r="I1484" i="12" s="1"/>
  <c r="O1367" i="12"/>
  <c r="L282" i="12" s="1"/>
  <c r="T912" i="12"/>
  <c r="U911" i="12"/>
  <c r="V911" i="12" s="1"/>
  <c r="V456" i="12"/>
  <c r="V455" i="12"/>
  <c r="E1164" i="12"/>
  <c r="E1165" i="12" s="1"/>
  <c r="R407" i="12"/>
  <c r="R1104" i="12"/>
  <c r="P1027" i="12"/>
  <c r="O1032" i="12"/>
  <c r="G1031" i="12"/>
  <c r="G1038" i="12" s="1"/>
  <c r="G1044" i="12"/>
  <c r="I1044" i="12"/>
  <c r="F1064" i="12"/>
  <c r="F1072" i="12" s="1"/>
  <c r="F1065" i="12" s="1"/>
  <c r="F1071" i="12"/>
  <c r="R1173" i="12"/>
  <c r="T1204" i="12"/>
  <c r="T1225" i="12"/>
  <c r="V448" i="12"/>
  <c r="V453" i="12"/>
  <c r="V450" i="12"/>
  <c r="V454" i="12"/>
  <c r="V451" i="12"/>
  <c r="V447" i="12"/>
  <c r="V449" i="12"/>
  <c r="V452" i="12"/>
  <c r="R1518" i="12"/>
  <c r="R428" i="12"/>
  <c r="R840" i="12"/>
  <c r="V972" i="12"/>
  <c r="T947" i="12"/>
  <c r="R967" i="12"/>
  <c r="R64" i="12"/>
  <c r="T932" i="12"/>
  <c r="U932" i="12" s="1"/>
  <c r="V932" i="12" s="1"/>
  <c r="R923" i="12"/>
  <c r="R902" i="12"/>
  <c r="R990" i="12"/>
  <c r="R304" i="12"/>
  <c r="R1389" i="12"/>
  <c r="R364" i="12"/>
  <c r="R243" i="12"/>
  <c r="S146" i="12"/>
  <c r="K281" i="12" l="1"/>
  <c r="K282" i="12"/>
  <c r="I1485" i="12"/>
  <c r="U912" i="12"/>
  <c r="V912" i="12" s="1"/>
  <c r="S407" i="12"/>
  <c r="S1104" i="12"/>
  <c r="Q1027" i="12"/>
  <c r="P1032" i="12"/>
  <c r="G1032" i="12"/>
  <c r="G1033" i="12" s="1"/>
  <c r="G1045" i="12"/>
  <c r="G1047" i="12" s="1"/>
  <c r="H1043" i="12" s="1"/>
  <c r="F1073" i="12"/>
  <c r="G1070" i="12" s="1"/>
  <c r="F1066" i="12"/>
  <c r="S1173" i="12"/>
  <c r="U1225" i="12"/>
  <c r="U1204" i="12"/>
  <c r="S1518" i="12"/>
  <c r="S428" i="12"/>
  <c r="S840" i="12"/>
  <c r="U947" i="12"/>
  <c r="S967" i="12"/>
  <c r="S64" i="12"/>
  <c r="S923" i="12"/>
  <c r="S902" i="12"/>
  <c r="S990" i="12"/>
  <c r="S304" i="12"/>
  <c r="S1389" i="12"/>
  <c r="S364" i="12"/>
  <c r="S243" i="12"/>
  <c r="T146" i="12"/>
  <c r="T407" i="12" l="1"/>
  <c r="T1104" i="12"/>
  <c r="Q1032" i="12"/>
  <c r="R1027" i="12"/>
  <c r="G1009" i="12"/>
  <c r="G1010" i="12" s="1"/>
  <c r="G1011" i="12" s="1"/>
  <c r="G1015" i="12" s="1"/>
  <c r="H1030" i="12"/>
  <c r="G1037" i="12"/>
  <c r="G1039" i="12" s="1"/>
  <c r="H1036" i="12" s="1"/>
  <c r="G1052" i="12"/>
  <c r="G1053" i="12" s="1"/>
  <c r="H1051" i="12" s="1"/>
  <c r="F1067" i="12"/>
  <c r="F1014" i="12"/>
  <c r="F1016" i="12" s="1"/>
  <c r="T1173" i="12"/>
  <c r="V1204" i="12"/>
  <c r="V1225" i="12"/>
  <c r="T1518" i="12"/>
  <c r="T840" i="12"/>
  <c r="T428" i="12"/>
  <c r="V947" i="12"/>
  <c r="T967" i="12"/>
  <c r="T64" i="12"/>
  <c r="T923" i="12"/>
  <c r="T902" i="12"/>
  <c r="T990" i="12"/>
  <c r="T1389" i="12"/>
  <c r="T304" i="12"/>
  <c r="T364" i="12"/>
  <c r="U146" i="12"/>
  <c r="T243" i="12"/>
  <c r="U407" i="12" l="1"/>
  <c r="U1104" i="12"/>
  <c r="S1027" i="12"/>
  <c r="R1032" i="12"/>
  <c r="G1012" i="12"/>
  <c r="G1061" i="12" s="1"/>
  <c r="G1062" i="12"/>
  <c r="H1031" i="12"/>
  <c r="U1173" i="12"/>
  <c r="U1518" i="12"/>
  <c r="U840" i="12"/>
  <c r="U428" i="12"/>
  <c r="U967" i="12"/>
  <c r="U64" i="12"/>
  <c r="U923" i="12"/>
  <c r="U902" i="12"/>
  <c r="U990" i="12"/>
  <c r="U1389" i="12"/>
  <c r="U304" i="12"/>
  <c r="U243" i="12"/>
  <c r="V146" i="12"/>
  <c r="U364" i="12"/>
  <c r="V407" i="12" l="1"/>
  <c r="V1104" i="12"/>
  <c r="T1027" i="12"/>
  <c r="S1032" i="12"/>
  <c r="G1064" i="12"/>
  <c r="G1072" i="12" s="1"/>
  <c r="G1065" i="12" s="1"/>
  <c r="G1066" i="12" s="1"/>
  <c r="G1067" i="12" s="1"/>
  <c r="G1071" i="12"/>
  <c r="H1032" i="12"/>
  <c r="H1033" i="12" s="1"/>
  <c r="H1038" i="12"/>
  <c r="H1045" i="12"/>
  <c r="V1173" i="12"/>
  <c r="V1518" i="12"/>
  <c r="V428" i="12"/>
  <c r="V840" i="12"/>
  <c r="V967" i="12"/>
  <c r="V64" i="12"/>
  <c r="V923" i="12"/>
  <c r="B932" i="12" s="1" a="1"/>
  <c r="V902" i="12"/>
  <c r="V990" i="12"/>
  <c r="V304" i="12"/>
  <c r="V1389" i="12"/>
  <c r="V243" i="12"/>
  <c r="V364" i="12"/>
  <c r="T1032" i="12" l="1"/>
  <c r="U1027" i="12"/>
  <c r="G1073" i="12"/>
  <c r="H1070" i="12" s="1"/>
  <c r="H1037" i="12"/>
  <c r="H1039" i="12" s="1"/>
  <c r="I1036" i="12" s="1"/>
  <c r="I1030" i="12"/>
  <c r="H1047" i="12"/>
  <c r="J1047" i="12" s="1"/>
  <c r="L1047" i="12" s="1"/>
  <c r="M1043" i="12" s="1"/>
  <c r="H1009" i="12"/>
  <c r="H1010" i="12" s="1"/>
  <c r="H1052" i="12"/>
  <c r="H1053" i="12" s="1"/>
  <c r="G1014" i="12"/>
  <c r="G1016" i="12" s="1"/>
  <c r="B935" i="12"/>
  <c r="B938" i="12"/>
  <c r="B933" i="12"/>
  <c r="B939" i="12"/>
  <c r="B934" i="12"/>
  <c r="B940" i="12"/>
  <c r="B941" i="12"/>
  <c r="B936" i="12"/>
  <c r="B937" i="12"/>
  <c r="B932" i="12"/>
  <c r="E373" i="12"/>
  <c r="E391" i="12" s="1"/>
  <c r="E374" i="12"/>
  <c r="E392" i="12" s="1"/>
  <c r="E375" i="12"/>
  <c r="E393" i="12" s="1"/>
  <c r="E376" i="12"/>
  <c r="E394" i="12" s="1"/>
  <c r="E368" i="12"/>
  <c r="E386" i="12" s="1"/>
  <c r="E369" i="12"/>
  <c r="E387" i="12" s="1"/>
  <c r="E371" i="12"/>
  <c r="E389" i="12" s="1"/>
  <c r="E293" i="12"/>
  <c r="E271" i="12"/>
  <c r="E286" i="12" s="1"/>
  <c r="E254" i="12"/>
  <c r="F254" i="12" s="1"/>
  <c r="G254" i="12" s="1"/>
  <c r="H254" i="12" s="1"/>
  <c r="I254" i="12" s="1"/>
  <c r="E252" i="12"/>
  <c r="E262" i="12" s="1"/>
  <c r="E233" i="12" s="1"/>
  <c r="O145" i="12"/>
  <c r="B182" i="12"/>
  <c r="B181" i="12"/>
  <c r="L1033" i="12" l="1"/>
  <c r="M1030" i="12" s="1"/>
  <c r="I1051" i="12"/>
  <c r="J1053" i="12"/>
  <c r="V24" i="12" s="1"/>
  <c r="O406" i="12"/>
  <c r="O1103" i="12"/>
  <c r="U1032" i="12"/>
  <c r="V1027" i="12"/>
  <c r="V1032" i="12" s="1"/>
  <c r="I1043" i="12"/>
  <c r="H1011" i="12"/>
  <c r="H1012" i="12" s="1"/>
  <c r="H1061" i="12" s="1"/>
  <c r="I1031" i="12"/>
  <c r="I1032" i="12" s="1"/>
  <c r="I1033" i="12" s="1"/>
  <c r="I1037" i="12" s="1"/>
  <c r="O1172" i="12"/>
  <c r="O1517" i="12"/>
  <c r="O1520" i="12" s="1"/>
  <c r="O427" i="12"/>
  <c r="O433" i="12" s="1"/>
  <c r="O839" i="12"/>
  <c r="E372" i="12"/>
  <c r="F386" i="12"/>
  <c r="F368" i="12" s="1"/>
  <c r="E377" i="12"/>
  <c r="F391" i="12"/>
  <c r="F373" i="12" s="1"/>
  <c r="O966" i="12"/>
  <c r="O63" i="12"/>
  <c r="O922" i="12"/>
  <c r="O901" i="12"/>
  <c r="O989" i="12"/>
  <c r="P145" i="12"/>
  <c r="O1388" i="12"/>
  <c r="O303" i="12"/>
  <c r="E253" i="12"/>
  <c r="F253" i="12" s="1"/>
  <c r="F387" i="12"/>
  <c r="F369" i="12" s="1"/>
  <c r="F393" i="12"/>
  <c r="F375" i="12" s="1"/>
  <c r="F388" i="12"/>
  <c r="F370" i="12" s="1"/>
  <c r="F389" i="12"/>
  <c r="F371" i="12" s="1"/>
  <c r="F392" i="12"/>
  <c r="F374" i="12" s="1"/>
  <c r="F394" i="12"/>
  <c r="F376" i="12" s="1"/>
  <c r="E294" i="12"/>
  <c r="E296" i="12" s="1"/>
  <c r="P12" i="12"/>
  <c r="E1082" i="12" s="1"/>
  <c r="P1194" i="12"/>
  <c r="P210" i="12" s="1"/>
  <c r="E1461" i="12"/>
  <c r="E1486" i="12" s="1"/>
  <c r="E1484" i="12"/>
  <c r="B1199" i="12"/>
  <c r="O1208" i="12"/>
  <c r="P1208" i="12"/>
  <c r="N1208" i="12"/>
  <c r="M1208" i="12"/>
  <c r="N1201" i="12"/>
  <c r="O1194" i="12"/>
  <c r="O210" i="12" s="1"/>
  <c r="N1194" i="12"/>
  <c r="N210" i="12" s="1"/>
  <c r="N150" i="12" s="1"/>
  <c r="M1194" i="12"/>
  <c r="M210" i="12" s="1"/>
  <c r="M336" i="12"/>
  <c r="J1451" i="12"/>
  <c r="I1451" i="12"/>
  <c r="H1451" i="12"/>
  <c r="F1451" i="12"/>
  <c r="E1451" i="12"/>
  <c r="D1451" i="12"/>
  <c r="D1450" i="12"/>
  <c r="H1450" i="12" s="1"/>
  <c r="J1444" i="12"/>
  <c r="I1444" i="12"/>
  <c r="H1444" i="12"/>
  <c r="H1443" i="12"/>
  <c r="F1433" i="12"/>
  <c r="E1433" i="12"/>
  <c r="D1433" i="12"/>
  <c r="J1433" i="12"/>
  <c r="I1433" i="12"/>
  <c r="H1433" i="12"/>
  <c r="D1432" i="12"/>
  <c r="H1432" i="12" s="1"/>
  <c r="J1426" i="12"/>
  <c r="I1426" i="12"/>
  <c r="H1426" i="12"/>
  <c r="H1425" i="12"/>
  <c r="H1244" i="12"/>
  <c r="I1244" i="12" s="1"/>
  <c r="J1244" i="12" s="1"/>
  <c r="K1244" i="12" s="1"/>
  <c r="L1244" i="12" s="1"/>
  <c r="B1200" i="12"/>
  <c r="B1198" i="12"/>
  <c r="B340" i="12"/>
  <c r="B274" i="12"/>
  <c r="B1359" i="12" s="1"/>
  <c r="B376" i="12"/>
  <c r="B394" i="12" s="1"/>
  <c r="B375" i="12"/>
  <c r="B393" i="12" s="1"/>
  <c r="B374" i="12"/>
  <c r="B392" i="12" s="1"/>
  <c r="B373" i="12"/>
  <c r="B391" i="12" s="1"/>
  <c r="B371" i="12"/>
  <c r="B389" i="12" s="1"/>
  <c r="B369" i="12"/>
  <c r="B387" i="12" s="1"/>
  <c r="B368" i="12"/>
  <c r="B386" i="12" s="1"/>
  <c r="K16" i="12"/>
  <c r="N215" i="12" l="1"/>
  <c r="M215" i="12"/>
  <c r="M153" i="12" s="1"/>
  <c r="N214" i="12"/>
  <c r="G1091" i="12"/>
  <c r="H1091" i="12" s="1"/>
  <c r="G1095" i="12"/>
  <c r="H1095" i="12" s="1"/>
  <c r="G1092" i="12"/>
  <c r="H1092" i="12" s="1"/>
  <c r="G1096" i="12"/>
  <c r="H1096" i="12" s="1"/>
  <c r="G1089" i="12"/>
  <c r="H1089" i="12" s="1"/>
  <c r="G1093" i="12"/>
  <c r="H1093" i="12" s="1"/>
  <c r="G1097" i="12"/>
  <c r="H1097" i="12" s="1"/>
  <c r="G1090" i="12"/>
  <c r="H1090" i="12" s="1"/>
  <c r="G1094" i="12"/>
  <c r="H1094" i="12" s="1"/>
  <c r="G1088" i="12"/>
  <c r="O440" i="12"/>
  <c r="O443" i="12"/>
  <c r="O436" i="12"/>
  <c r="O439" i="12"/>
  <c r="O435" i="12"/>
  <c r="O432" i="12"/>
  <c r="O442" i="12"/>
  <c r="O437" i="12"/>
  <c r="O434" i="12"/>
  <c r="O441" i="12"/>
  <c r="O438" i="12"/>
  <c r="P23" i="12"/>
  <c r="F384" i="12"/>
  <c r="F397" i="12" s="1"/>
  <c r="F399" i="12"/>
  <c r="F398" i="12"/>
  <c r="F396" i="12"/>
  <c r="P406" i="12"/>
  <c r="P1103" i="12"/>
  <c r="I1038" i="12"/>
  <c r="I1039" i="12" s="1"/>
  <c r="I1045" i="12"/>
  <c r="I1047" i="12" s="1"/>
  <c r="H1015" i="12"/>
  <c r="H1062" i="12"/>
  <c r="H1071" i="12" s="1"/>
  <c r="P1172" i="12"/>
  <c r="N957" i="12"/>
  <c r="N980" i="12"/>
  <c r="B1227" i="12"/>
  <c r="B1213" i="12"/>
  <c r="B1215" i="12" s="1"/>
  <c r="B1228" i="12"/>
  <c r="B1214" i="12"/>
  <c r="B1226" i="12"/>
  <c r="B1212" i="12"/>
  <c r="O150" i="12"/>
  <c r="O215" i="12" s="1"/>
  <c r="N205" i="12"/>
  <c r="N69" i="12" s="1"/>
  <c r="N158" i="12"/>
  <c r="P1517" i="12"/>
  <c r="P1520" i="12" s="1"/>
  <c r="P427" i="12"/>
  <c r="P433" i="12" s="1"/>
  <c r="P839" i="12"/>
  <c r="M904" i="12"/>
  <c r="E378" i="12"/>
  <c r="F250" i="12"/>
  <c r="F249" i="12"/>
  <c r="F377" i="12"/>
  <c r="F248" i="12"/>
  <c r="P966" i="12"/>
  <c r="P63" i="12"/>
  <c r="P922" i="12"/>
  <c r="P901" i="12"/>
  <c r="P989" i="12"/>
  <c r="Q145" i="12"/>
  <c r="P1388" i="12"/>
  <c r="P303" i="12"/>
  <c r="G253" i="12"/>
  <c r="H253" i="12" s="1"/>
  <c r="I253" i="12" s="1"/>
  <c r="B1201" i="12"/>
  <c r="J382" i="12"/>
  <c r="G387" i="12"/>
  <c r="G369" i="12" s="1"/>
  <c r="G399" i="12" s="1"/>
  <c r="G386" i="12"/>
  <c r="G368" i="12" s="1"/>
  <c r="G396" i="12" s="1"/>
  <c r="G393" i="12"/>
  <c r="G375" i="12" s="1"/>
  <c r="F269" i="12"/>
  <c r="G388" i="12"/>
  <c r="G370" i="12" s="1"/>
  <c r="G389" i="12"/>
  <c r="G371" i="12" s="1"/>
  <c r="F251" i="12"/>
  <c r="G391" i="12"/>
  <c r="G373" i="12" s="1"/>
  <c r="F267" i="12"/>
  <c r="G394" i="12"/>
  <c r="G376" i="12" s="1"/>
  <c r="F270" i="12"/>
  <c r="G392" i="12"/>
  <c r="G374" i="12" s="1"/>
  <c r="F268" i="12"/>
  <c r="P18" i="12"/>
  <c r="E1481" i="12"/>
  <c r="E1467" i="12"/>
  <c r="E1471" i="12"/>
  <c r="E1468" i="12"/>
  <c r="E1473" i="12"/>
  <c r="E1474" i="12"/>
  <c r="E1472" i="12"/>
  <c r="E1470" i="12"/>
  <c r="E1469" i="12"/>
  <c r="O1201" i="12"/>
  <c r="E1475" i="12"/>
  <c r="E1466" i="12"/>
  <c r="Q1194" i="12"/>
  <c r="Q210" i="12" s="1"/>
  <c r="N188" i="12" l="1"/>
  <c r="O214" i="12"/>
  <c r="H1088" i="12"/>
  <c r="H1098" i="12" s="1"/>
  <c r="G1098" i="12"/>
  <c r="P15" i="12" s="1"/>
  <c r="K1320" i="12"/>
  <c r="M1320" i="12" s="1"/>
  <c r="N904" i="12"/>
  <c r="P443" i="12"/>
  <c r="P439" i="12"/>
  <c r="P435" i="12"/>
  <c r="P438" i="12"/>
  <c r="P437" i="12"/>
  <c r="P434" i="12"/>
  <c r="P441" i="12"/>
  <c r="P442" i="12"/>
  <c r="P440" i="12"/>
  <c r="P436" i="12"/>
  <c r="P432" i="12"/>
  <c r="O980" i="12"/>
  <c r="G384" i="12"/>
  <c r="G397" i="12" s="1"/>
  <c r="G398" i="12"/>
  <c r="L382" i="12"/>
  <c r="Q406" i="12"/>
  <c r="Q1103" i="12"/>
  <c r="I1052" i="12"/>
  <c r="I1053" i="12" s="1"/>
  <c r="I1009" i="12"/>
  <c r="I1010" i="12" s="1"/>
  <c r="I1011" i="12" s="1"/>
  <c r="I1015" i="12" s="1"/>
  <c r="H1064" i="12"/>
  <c r="H1072" i="12" s="1"/>
  <c r="H1065" i="12" s="1"/>
  <c r="H1066" i="12" s="1"/>
  <c r="H1067" i="12" s="1"/>
  <c r="N312" i="12"/>
  <c r="N1003" i="12"/>
  <c r="Q1172" i="12"/>
  <c r="B1229" i="12"/>
  <c r="P150" i="12"/>
  <c r="P215" i="12" s="1"/>
  <c r="O957" i="12"/>
  <c r="O158" i="12"/>
  <c r="O188" i="12" s="1"/>
  <c r="N927" i="12"/>
  <c r="N334" i="12"/>
  <c r="O205" i="12"/>
  <c r="O69" i="12" s="1"/>
  <c r="B1208" i="12"/>
  <c r="B1236" i="12"/>
  <c r="Q1517" i="12"/>
  <c r="Q1520" i="12" s="1"/>
  <c r="Q427" i="12"/>
  <c r="Q433" i="12" s="1"/>
  <c r="Q839" i="12"/>
  <c r="G250" i="12"/>
  <c r="G249" i="12"/>
  <c r="F372" i="12"/>
  <c r="F378" i="12" s="1"/>
  <c r="G377" i="12"/>
  <c r="G248" i="12"/>
  <c r="Q966" i="12"/>
  <c r="Q63" i="12"/>
  <c r="Q922" i="12"/>
  <c r="Q901" i="12"/>
  <c r="Q989" i="12"/>
  <c r="R145" i="12"/>
  <c r="Q303" i="12"/>
  <c r="Q1388" i="12"/>
  <c r="H387" i="12"/>
  <c r="H386" i="12"/>
  <c r="H368" i="12" s="1"/>
  <c r="H388" i="12"/>
  <c r="H370" i="12" s="1"/>
  <c r="H393" i="12"/>
  <c r="G269" i="12"/>
  <c r="H392" i="12"/>
  <c r="H374" i="12" s="1"/>
  <c r="G268" i="12"/>
  <c r="H394" i="12"/>
  <c r="H376" i="12" s="1"/>
  <c r="G270" i="12"/>
  <c r="F271" i="12"/>
  <c r="H391" i="12"/>
  <c r="H373" i="12" s="1"/>
  <c r="G267" i="12"/>
  <c r="H389" i="12"/>
  <c r="H371" i="12" s="1"/>
  <c r="G251" i="12"/>
  <c r="Q1208" i="12"/>
  <c r="E1485" i="12"/>
  <c r="E1487" i="12" s="1"/>
  <c r="K1463" i="12" s="1"/>
  <c r="P1201" i="12"/>
  <c r="R1194" i="12"/>
  <c r="R210" i="12" s="1"/>
  <c r="O33" i="12"/>
  <c r="S1206" i="12"/>
  <c r="R1208" i="12"/>
  <c r="P214" i="12" l="1"/>
  <c r="O927" i="12"/>
  <c r="O934" i="12" s="1"/>
  <c r="P934" i="12" s="1"/>
  <c r="K1252" i="12"/>
  <c r="J1252" i="12"/>
  <c r="P20" i="12"/>
  <c r="L1252" i="12"/>
  <c r="M1252" i="12" s="1"/>
  <c r="D14" i="12" s="1"/>
  <c r="F14" i="12" s="1"/>
  <c r="P1320" i="12"/>
  <c r="N1320" i="12"/>
  <c r="O904" i="12"/>
  <c r="P904" i="12" s="1"/>
  <c r="Q435" i="12"/>
  <c r="Q434" i="12"/>
  <c r="Q432" i="12"/>
  <c r="Q442" i="12"/>
  <c r="Q436" i="12"/>
  <c r="Q440" i="12"/>
  <c r="Q441" i="12"/>
  <c r="Q438" i="12"/>
  <c r="Q437" i="12"/>
  <c r="Q443" i="12"/>
  <c r="Q439" i="12"/>
  <c r="H396" i="12"/>
  <c r="J387" i="12"/>
  <c r="H369" i="12"/>
  <c r="J369" i="12" s="1"/>
  <c r="J393" i="12"/>
  <c r="H375" i="12"/>
  <c r="H269" i="12" s="1"/>
  <c r="R406" i="12"/>
  <c r="R1103" i="12"/>
  <c r="H1014" i="12"/>
  <c r="H1016" i="12" s="1"/>
  <c r="I1062" i="12"/>
  <c r="H1073" i="12"/>
  <c r="I1012" i="12"/>
  <c r="I1061" i="12" s="1"/>
  <c r="O312" i="12"/>
  <c r="O1003" i="12"/>
  <c r="R1172" i="12"/>
  <c r="P957" i="12"/>
  <c r="P980" i="12"/>
  <c r="P158" i="12"/>
  <c r="P188" i="12" s="1"/>
  <c r="Q150" i="12"/>
  <c r="Q215" i="12" s="1"/>
  <c r="P205" i="12"/>
  <c r="P69" i="12" s="1"/>
  <c r="O334" i="12"/>
  <c r="O336" i="12" s="1"/>
  <c r="N1401" i="12"/>
  <c r="N336" i="12"/>
  <c r="N933" i="12"/>
  <c r="O933" i="12" s="1"/>
  <c r="R1517" i="12"/>
  <c r="R1520" i="12" s="1"/>
  <c r="R839" i="12"/>
  <c r="R427" i="12"/>
  <c r="R433" i="12" s="1"/>
  <c r="G372" i="12"/>
  <c r="G378" i="12" s="1"/>
  <c r="J374" i="12"/>
  <c r="J392" i="12"/>
  <c r="J370" i="12"/>
  <c r="J388" i="12"/>
  <c r="J389" i="12"/>
  <c r="H248" i="12"/>
  <c r="J386" i="12"/>
  <c r="J394" i="12"/>
  <c r="J391" i="12"/>
  <c r="I387" i="12"/>
  <c r="R966" i="12"/>
  <c r="R63" i="12"/>
  <c r="R922" i="12"/>
  <c r="R901" i="12"/>
  <c r="R989" i="12"/>
  <c r="S145" i="12"/>
  <c r="R303" i="12"/>
  <c r="R1388" i="12"/>
  <c r="F325" i="12"/>
  <c r="I386" i="12"/>
  <c r="I368" i="12" s="1"/>
  <c r="I396" i="12" s="1"/>
  <c r="J383" i="12"/>
  <c r="I393" i="12"/>
  <c r="I375" i="12" s="1"/>
  <c r="I388" i="12"/>
  <c r="I370" i="12" s="1"/>
  <c r="G271" i="12"/>
  <c r="I394" i="12"/>
  <c r="I376" i="12" s="1"/>
  <c r="I391" i="12"/>
  <c r="I373" i="12" s="1"/>
  <c r="I392" i="12"/>
  <c r="I374" i="12" s="1"/>
  <c r="I389" i="12"/>
  <c r="I371" i="12" s="1"/>
  <c r="S1208" i="12"/>
  <c r="T1206" i="12"/>
  <c r="N382" i="12"/>
  <c r="O34" i="12"/>
  <c r="N151" i="12"/>
  <c r="N153" i="12"/>
  <c r="S1194" i="12"/>
  <c r="S210" i="12" s="1"/>
  <c r="O1320" i="12" l="1"/>
  <c r="P16" i="12"/>
  <c r="P17" i="12" s="1"/>
  <c r="P19" i="12" s="1"/>
  <c r="L1272" i="12" s="1"/>
  <c r="T1320" i="12"/>
  <c r="M1358" i="12" s="1"/>
  <c r="J1358" i="12"/>
  <c r="Q934" i="12"/>
  <c r="R934" i="12" s="1"/>
  <c r="S934" i="12" s="1"/>
  <c r="P927" i="12"/>
  <c r="P935" i="12" s="1"/>
  <c r="Q935" i="12" s="1"/>
  <c r="S1320" i="12"/>
  <c r="Q904" i="12"/>
  <c r="R904" i="12" s="1"/>
  <c r="R443" i="12"/>
  <c r="R440" i="12"/>
  <c r="R439" i="12"/>
  <c r="R442" i="12"/>
  <c r="R436" i="12"/>
  <c r="R432" i="12"/>
  <c r="R435" i="12"/>
  <c r="R434" i="12"/>
  <c r="R437" i="12"/>
  <c r="R441" i="12"/>
  <c r="R438" i="12"/>
  <c r="H384" i="12"/>
  <c r="H399" i="12"/>
  <c r="H398" i="12"/>
  <c r="L383" i="12"/>
  <c r="I369" i="12"/>
  <c r="I384" i="12" s="1"/>
  <c r="I397" i="12" s="1"/>
  <c r="S406" i="12"/>
  <c r="S1103" i="12"/>
  <c r="I1070" i="12"/>
  <c r="J1073" i="12"/>
  <c r="L1073" i="12" s="1"/>
  <c r="M1070" i="12" s="1"/>
  <c r="I1064" i="12"/>
  <c r="I1071" i="12"/>
  <c r="P312" i="12"/>
  <c r="P1003" i="12"/>
  <c r="S1172" i="12"/>
  <c r="R150" i="12"/>
  <c r="R215" i="12" s="1"/>
  <c r="Q980" i="12"/>
  <c r="Q158" i="12"/>
  <c r="Q188" i="12" s="1"/>
  <c r="P334" i="12"/>
  <c r="P1401" i="12" s="1"/>
  <c r="Q957" i="12"/>
  <c r="Q205" i="12"/>
  <c r="Q69" i="12" s="1"/>
  <c r="O1401" i="12"/>
  <c r="P933" i="12"/>
  <c r="S1517" i="12"/>
  <c r="S1520" i="12" s="1"/>
  <c r="S839" i="12"/>
  <c r="S427" i="12"/>
  <c r="N152" i="12"/>
  <c r="J368" i="12"/>
  <c r="J375" i="12"/>
  <c r="H250" i="12"/>
  <c r="J250" i="12" s="1"/>
  <c r="I250" i="12"/>
  <c r="I248" i="12"/>
  <c r="I377" i="12"/>
  <c r="H377" i="12"/>
  <c r="H372" i="12"/>
  <c r="S966" i="12"/>
  <c r="S63" i="12"/>
  <c r="S922" i="12"/>
  <c r="S901" i="12"/>
  <c r="S989" i="12"/>
  <c r="T145" i="12"/>
  <c r="S1388" i="12"/>
  <c r="S303" i="12"/>
  <c r="G325" i="12"/>
  <c r="H249" i="12"/>
  <c r="J249" i="12" s="1"/>
  <c r="J273" i="12"/>
  <c r="E1358" i="12" s="1"/>
  <c r="I1358" i="12" s="1"/>
  <c r="J280" i="12"/>
  <c r="E1365" i="12" s="1"/>
  <c r="I1365" i="12" s="1"/>
  <c r="K1365" i="12" s="1"/>
  <c r="J275" i="12"/>
  <c r="E1360" i="12" s="1"/>
  <c r="I1360" i="12" s="1"/>
  <c r="K1360" i="12" s="1"/>
  <c r="J288" i="12"/>
  <c r="J291" i="12"/>
  <c r="J277" i="12"/>
  <c r="E1362" i="12" s="1"/>
  <c r="I1362" i="12" s="1"/>
  <c r="K1362" i="12" s="1"/>
  <c r="J253" i="12"/>
  <c r="J266" i="12"/>
  <c r="J290" i="12"/>
  <c r="J289" i="12"/>
  <c r="H268" i="12"/>
  <c r="J268" i="12" s="1"/>
  <c r="J269" i="12"/>
  <c r="J259" i="12"/>
  <c r="J279" i="12"/>
  <c r="E1364" i="12" s="1"/>
  <c r="I1364" i="12" s="1"/>
  <c r="K1364" i="12" s="1"/>
  <c r="H251" i="12"/>
  <c r="J251" i="12" s="1"/>
  <c r="J371" i="12"/>
  <c r="H267" i="12"/>
  <c r="J267" i="12" s="1"/>
  <c r="E1352" i="12" s="1"/>
  <c r="I1352" i="12" s="1"/>
  <c r="K1352" i="12" s="1"/>
  <c r="J373" i="12"/>
  <c r="H270" i="12"/>
  <c r="J270" i="12" s="1"/>
  <c r="J376" i="12"/>
  <c r="J276" i="12"/>
  <c r="E1361" i="12" s="1"/>
  <c r="I1361" i="12" s="1"/>
  <c r="K1361" i="12" s="1"/>
  <c r="J258" i="12"/>
  <c r="E1343" i="12" s="1"/>
  <c r="J278" i="12"/>
  <c r="E1363" i="12" s="1"/>
  <c r="I1363" i="12" s="1"/>
  <c r="K1363" i="12" s="1"/>
  <c r="J260" i="12"/>
  <c r="J257" i="12"/>
  <c r="E1342" i="12" s="1"/>
  <c r="I1342" i="12" s="1"/>
  <c r="K1342" i="12" s="1"/>
  <c r="J274" i="12"/>
  <c r="J272" i="12"/>
  <c r="J261" i="12"/>
  <c r="J285" i="12"/>
  <c r="J287" i="12"/>
  <c r="V40" i="12" s="1"/>
  <c r="J256" i="12"/>
  <c r="J254" i="12"/>
  <c r="J248" i="12"/>
  <c r="I269" i="12"/>
  <c r="I251" i="12"/>
  <c r="I267" i="12"/>
  <c r="I268" i="12"/>
  <c r="I270" i="12"/>
  <c r="T1194" i="12"/>
  <c r="T210" i="12" s="1"/>
  <c r="Q1201" i="12"/>
  <c r="Q214" i="12" s="1"/>
  <c r="R1199" i="12"/>
  <c r="U1206" i="12"/>
  <c r="T1208" i="12"/>
  <c r="E1359" i="12" l="1"/>
  <c r="I1359" i="12" s="1"/>
  <c r="M1377" i="12"/>
  <c r="Q334" i="12"/>
  <c r="Q336" i="12" s="1"/>
  <c r="L1278" i="12"/>
  <c r="L1279" i="12"/>
  <c r="O1363" i="12"/>
  <c r="L278" i="12" s="1"/>
  <c r="K278" i="12" s="1"/>
  <c r="O1361" i="12"/>
  <c r="L276" i="12" s="1"/>
  <c r="K276" i="12" s="1"/>
  <c r="O1364" i="12"/>
  <c r="L279" i="12" s="1"/>
  <c r="K279" i="12" s="1"/>
  <c r="O1362" i="12"/>
  <c r="L277" i="12" s="1"/>
  <c r="K277" i="12" s="1"/>
  <c r="O1365" i="12"/>
  <c r="L280" i="12" s="1"/>
  <c r="K280" i="12" s="1"/>
  <c r="O1352" i="12"/>
  <c r="L373" i="12" s="1"/>
  <c r="J1272" i="12"/>
  <c r="K1272" i="12"/>
  <c r="J1368" i="12"/>
  <c r="J1371" i="12" s="1"/>
  <c r="E1351" i="12"/>
  <c r="I1351" i="12" s="1"/>
  <c r="K1351" i="12" s="1"/>
  <c r="E1375" i="12"/>
  <c r="I1375" i="12" s="1"/>
  <c r="J1375" i="12" s="1"/>
  <c r="E1376" i="12"/>
  <c r="I1376" i="12" s="1"/>
  <c r="J1376" i="12" s="1"/>
  <c r="E1373" i="12"/>
  <c r="I1373" i="12" s="1"/>
  <c r="K1373" i="12" s="1"/>
  <c r="E1374" i="12"/>
  <c r="I1374" i="12" s="1"/>
  <c r="K1374" i="12" s="1"/>
  <c r="E1372" i="12"/>
  <c r="I1372" i="12" s="1"/>
  <c r="K1372" i="12" s="1"/>
  <c r="E1344" i="12"/>
  <c r="F1343" i="12"/>
  <c r="E1370" i="12"/>
  <c r="I1370" i="12" s="1"/>
  <c r="K1370" i="12" s="1"/>
  <c r="E1357" i="12"/>
  <c r="I1357" i="12" s="1"/>
  <c r="K1357" i="12" s="1"/>
  <c r="E1354" i="12"/>
  <c r="I1354" i="12" s="1"/>
  <c r="K1354" i="12" s="1"/>
  <c r="E1355" i="12"/>
  <c r="I1355" i="12" s="1"/>
  <c r="K1355" i="12" s="1"/>
  <c r="E1353" i="12"/>
  <c r="I1353" i="12" s="1"/>
  <c r="K1353" i="12" s="1"/>
  <c r="E1346" i="12"/>
  <c r="I1346" i="12" s="1"/>
  <c r="K1346" i="12" s="1"/>
  <c r="E1341" i="12"/>
  <c r="I1341" i="12" s="1"/>
  <c r="K1341" i="12" s="1"/>
  <c r="E1345" i="12"/>
  <c r="I1345" i="12" s="1"/>
  <c r="K1345" i="12" s="1"/>
  <c r="E1339" i="12"/>
  <c r="I1339" i="12" s="1"/>
  <c r="K1339" i="12" s="1"/>
  <c r="F45" i="12"/>
  <c r="G45" i="12" s="1"/>
  <c r="H45" i="12" s="1"/>
  <c r="E1338" i="12"/>
  <c r="E1335" i="12"/>
  <c r="I1335" i="12" s="1"/>
  <c r="K1335" i="12" s="1"/>
  <c r="E1333" i="12"/>
  <c r="I1333" i="12" s="1"/>
  <c r="K1333" i="12" s="1"/>
  <c r="E1336" i="12"/>
  <c r="I1336" i="12" s="1"/>
  <c r="K1336" i="12" s="1"/>
  <c r="E1334" i="12"/>
  <c r="I1334" i="12" s="1"/>
  <c r="K1334" i="12" s="1"/>
  <c r="S904" i="12"/>
  <c r="T904" i="12" s="1"/>
  <c r="S432" i="12"/>
  <c r="S433" i="12"/>
  <c r="S434" i="12"/>
  <c r="S436" i="12"/>
  <c r="S443" i="12"/>
  <c r="S440" i="12"/>
  <c r="S442" i="12"/>
  <c r="S435" i="12"/>
  <c r="S439" i="12"/>
  <c r="S437" i="12"/>
  <c r="S441" i="12"/>
  <c r="S438" i="12"/>
  <c r="K1464" i="12"/>
  <c r="K1466" i="12" s="1"/>
  <c r="P21" i="12"/>
  <c r="I249" i="12"/>
  <c r="I398" i="12"/>
  <c r="I399" i="12"/>
  <c r="J384" i="12"/>
  <c r="L384" i="12" s="1"/>
  <c r="H397" i="12"/>
  <c r="T406" i="12"/>
  <c r="T1103" i="12"/>
  <c r="I1072" i="12"/>
  <c r="I1065" i="12" s="1"/>
  <c r="I1066" i="12" s="1"/>
  <c r="I1014" i="12" s="1"/>
  <c r="I1016" i="12" s="1"/>
  <c r="Q312" i="12"/>
  <c r="Q1003" i="12"/>
  <c r="J283" i="12"/>
  <c r="T1172" i="12"/>
  <c r="R980" i="12"/>
  <c r="S150" i="12"/>
  <c r="S215" i="12" s="1"/>
  <c r="R957" i="12"/>
  <c r="R158" i="12"/>
  <c r="R205" i="12"/>
  <c r="R69" i="12" s="1"/>
  <c r="P336" i="12"/>
  <c r="Q927" i="12"/>
  <c r="Q936" i="12" s="1"/>
  <c r="R936" i="12" s="1"/>
  <c r="Q933" i="12"/>
  <c r="N154" i="12"/>
  <c r="T1517" i="12"/>
  <c r="T1520" i="12" s="1"/>
  <c r="T427" i="12"/>
  <c r="T839" i="12"/>
  <c r="N224" i="12"/>
  <c r="P24" i="12"/>
  <c r="P25" i="12" s="1"/>
  <c r="I372" i="12"/>
  <c r="I378" i="12" s="1"/>
  <c r="H378" i="12"/>
  <c r="J372" i="12"/>
  <c r="J377" i="12"/>
  <c r="T966" i="12"/>
  <c r="T63" i="12"/>
  <c r="R935" i="12"/>
  <c r="T934" i="12"/>
  <c r="U934" i="12" s="1"/>
  <c r="V934" i="12" s="1"/>
  <c r="T922" i="12"/>
  <c r="T901" i="12"/>
  <c r="T989" i="12"/>
  <c r="U145" i="12"/>
  <c r="T1388" i="12"/>
  <c r="T303" i="12"/>
  <c r="H271" i="12"/>
  <c r="J255" i="12"/>
  <c r="I271" i="12"/>
  <c r="J271" i="12"/>
  <c r="N383" i="12"/>
  <c r="V1206" i="12"/>
  <c r="U1208" i="12"/>
  <c r="V1194" i="12"/>
  <c r="V210" i="12" s="1"/>
  <c r="U1194" i="12"/>
  <c r="U210" i="12" s="1"/>
  <c r="S1199" i="12"/>
  <c r="R1201" i="12"/>
  <c r="R214" i="12" s="1"/>
  <c r="K1359" i="12" l="1"/>
  <c r="O1359" i="12" s="1"/>
  <c r="I1368" i="12"/>
  <c r="E1368" i="12"/>
  <c r="R1003" i="12"/>
  <c r="R188" i="12"/>
  <c r="Q1401" i="12"/>
  <c r="N1525" i="12"/>
  <c r="N68" i="12"/>
  <c r="R334" i="12"/>
  <c r="R336" i="12" s="1"/>
  <c r="L1284" i="12"/>
  <c r="K1278" i="12"/>
  <c r="K1279" i="12"/>
  <c r="J1278" i="12"/>
  <c r="J1279" i="12"/>
  <c r="M1272" i="12"/>
  <c r="O1373" i="12"/>
  <c r="L288" i="12" s="1"/>
  <c r="K288" i="12" s="1"/>
  <c r="O1372" i="12"/>
  <c r="L287" i="12" s="1"/>
  <c r="K287" i="12" s="1"/>
  <c r="O1374" i="12"/>
  <c r="L289" i="12" s="1"/>
  <c r="K289" i="12" s="1"/>
  <c r="O1370" i="12"/>
  <c r="L285" i="12" s="1"/>
  <c r="O1357" i="12"/>
  <c r="L272" i="12" s="1"/>
  <c r="O1353" i="12"/>
  <c r="L374" i="12" s="1"/>
  <c r="O1354" i="12"/>
  <c r="L375" i="12" s="1"/>
  <c r="L267" i="12"/>
  <c r="K267" i="12" s="1"/>
  <c r="O1351" i="12"/>
  <c r="L266" i="12" s="1"/>
  <c r="K266" i="12" s="1"/>
  <c r="O1355" i="12"/>
  <c r="L270" i="12" s="1"/>
  <c r="O1345" i="12"/>
  <c r="L260" i="12" s="1"/>
  <c r="O1341" i="12"/>
  <c r="L256" i="12" s="1"/>
  <c r="O1346" i="12"/>
  <c r="L261" i="12" s="1"/>
  <c r="O1339" i="12"/>
  <c r="L254" i="12" s="1"/>
  <c r="K254" i="12" s="1"/>
  <c r="O1334" i="12"/>
  <c r="O1333" i="12"/>
  <c r="O1335" i="12"/>
  <c r="L370" i="12" s="1"/>
  <c r="L388" i="12" s="1"/>
  <c r="M388" i="12" s="1"/>
  <c r="M370" i="12" s="1"/>
  <c r="M250" i="12" s="1"/>
  <c r="O1336" i="12"/>
  <c r="L371" i="12" s="1"/>
  <c r="K1358" i="12"/>
  <c r="K373" i="12"/>
  <c r="K1375" i="12"/>
  <c r="K1376" i="12"/>
  <c r="K1356" i="12"/>
  <c r="G1338" i="12"/>
  <c r="F1344" i="12"/>
  <c r="I1343" i="12"/>
  <c r="I1356" i="12"/>
  <c r="E1356" i="12"/>
  <c r="I45" i="12"/>
  <c r="J45" i="12"/>
  <c r="E1340" i="12"/>
  <c r="L951" i="12"/>
  <c r="M950" i="12" s="1"/>
  <c r="M958" i="12" s="1"/>
  <c r="M959" i="12" s="1"/>
  <c r="U904" i="12"/>
  <c r="V904" i="12" s="1"/>
  <c r="T433" i="12"/>
  <c r="T440" i="12"/>
  <c r="T443" i="12"/>
  <c r="T439" i="12"/>
  <c r="T437" i="12"/>
  <c r="T432" i="12"/>
  <c r="T435" i="12"/>
  <c r="T434" i="12"/>
  <c r="T441" i="12"/>
  <c r="T442" i="12"/>
  <c r="T438" i="12"/>
  <c r="T436" i="12"/>
  <c r="V39" i="12"/>
  <c r="V16" i="12"/>
  <c r="U406" i="12"/>
  <c r="U1103" i="12"/>
  <c r="I1067" i="12"/>
  <c r="I1073" i="12"/>
  <c r="O38" i="12"/>
  <c r="N1000" i="12"/>
  <c r="U1172" i="12"/>
  <c r="S980" i="12"/>
  <c r="S158" i="12"/>
  <c r="S957" i="12"/>
  <c r="T150" i="12"/>
  <c r="T215" i="12" s="1"/>
  <c r="S205" i="12"/>
  <c r="S69" i="12" s="1"/>
  <c r="R927" i="12"/>
  <c r="R937" i="12" s="1"/>
  <c r="S937" i="12" s="1"/>
  <c r="N1395" i="12"/>
  <c r="V1208" i="12"/>
  <c r="R933" i="12"/>
  <c r="N225" i="12"/>
  <c r="U1517" i="12"/>
  <c r="U1520" i="12" s="1"/>
  <c r="U427" i="12"/>
  <c r="U839" i="12"/>
  <c r="J378" i="12"/>
  <c r="U966" i="12"/>
  <c r="U63" i="12"/>
  <c r="S936" i="12"/>
  <c r="T936" i="12" s="1"/>
  <c r="S935" i="12"/>
  <c r="T935" i="12" s="1"/>
  <c r="U922" i="12"/>
  <c r="U901" i="12"/>
  <c r="U989" i="12"/>
  <c r="V145" i="12"/>
  <c r="U303" i="12"/>
  <c r="U1388" i="12"/>
  <c r="I325" i="12"/>
  <c r="H325" i="12"/>
  <c r="T1199" i="12"/>
  <c r="S1201" i="12"/>
  <c r="S214" i="12" s="1"/>
  <c r="L274" i="12" l="1"/>
  <c r="M809" i="12"/>
  <c r="M818" i="12"/>
  <c r="M819" i="12" s="1"/>
  <c r="M825" i="12" s="1"/>
  <c r="M826" i="12" s="1"/>
  <c r="M889" i="12" s="1"/>
  <c r="L369" i="12"/>
  <c r="L387" i="12" s="1"/>
  <c r="M387" i="12" s="1"/>
  <c r="N387" i="12" s="1"/>
  <c r="N369" i="12" s="1"/>
  <c r="N249" i="12" s="1"/>
  <c r="L248" i="12"/>
  <c r="K248" i="12" s="1"/>
  <c r="M780" i="12"/>
  <c r="S1003" i="12"/>
  <c r="S188" i="12"/>
  <c r="M1278" i="12"/>
  <c r="M1279" i="12"/>
  <c r="R1401" i="12"/>
  <c r="S334" i="12"/>
  <c r="S1401" i="12" s="1"/>
  <c r="K1284" i="12"/>
  <c r="J1284" i="12"/>
  <c r="D31" i="12"/>
  <c r="J1332" i="12"/>
  <c r="L268" i="12"/>
  <c r="K268" i="12" s="1"/>
  <c r="O1375" i="12"/>
  <c r="L290" i="12" s="1"/>
  <c r="K290" i="12" s="1"/>
  <c r="M285" i="12"/>
  <c r="N285" i="12" s="1"/>
  <c r="N328" i="12" s="1"/>
  <c r="K285" i="12"/>
  <c r="L78" i="12"/>
  <c r="K272" i="12"/>
  <c r="M272" i="12"/>
  <c r="M78" i="12" s="1"/>
  <c r="M261" i="12"/>
  <c r="M327" i="12" s="1"/>
  <c r="K261" i="12"/>
  <c r="K1368" i="12"/>
  <c r="O1358" i="12"/>
  <c r="L376" i="12"/>
  <c r="K376" i="12" s="1"/>
  <c r="L269" i="12"/>
  <c r="K269" i="12" s="1"/>
  <c r="M260" i="12"/>
  <c r="N260" i="12" s="1"/>
  <c r="O260" i="12" s="1"/>
  <c r="K260" i="12"/>
  <c r="O1356" i="12"/>
  <c r="M256" i="12"/>
  <c r="N256" i="12" s="1"/>
  <c r="O256" i="12" s="1"/>
  <c r="K256" i="12"/>
  <c r="L249" i="12"/>
  <c r="L250" i="12"/>
  <c r="K250" i="12" s="1"/>
  <c r="L251" i="12"/>
  <c r="K251" i="12" s="1"/>
  <c r="L368" i="12"/>
  <c r="M1368" i="12"/>
  <c r="M1371" i="12" s="1"/>
  <c r="M1378" i="12"/>
  <c r="L389" i="12"/>
  <c r="M389" i="12" s="1"/>
  <c r="N389" i="12" s="1"/>
  <c r="N371" i="12" s="1"/>
  <c r="N251" i="12" s="1"/>
  <c r="K270" i="12"/>
  <c r="K370" i="12"/>
  <c r="L392" i="12"/>
  <c r="M392" i="12" s="1"/>
  <c r="N392" i="12" s="1"/>
  <c r="N374" i="12" s="1"/>
  <c r="N268" i="12" s="1"/>
  <c r="K374" i="12"/>
  <c r="L393" i="12"/>
  <c r="M393" i="12" s="1"/>
  <c r="M375" i="12" s="1"/>
  <c r="M269" i="12" s="1"/>
  <c r="K375" i="12"/>
  <c r="N388" i="12"/>
  <c r="N370" i="12" s="1"/>
  <c r="N250" i="12" s="1"/>
  <c r="F1347" i="12"/>
  <c r="I1338" i="12"/>
  <c r="K1338" i="12" s="1"/>
  <c r="G1340" i="12"/>
  <c r="T950" i="12"/>
  <c r="T958" i="12" s="1"/>
  <c r="M949" i="12"/>
  <c r="M951" i="12" s="1"/>
  <c r="N949" i="12" s="1"/>
  <c r="S950" i="12"/>
  <c r="S958" i="12" s="1"/>
  <c r="S959" i="12" s="1"/>
  <c r="Q950" i="12"/>
  <c r="Q958" i="12" s="1"/>
  <c r="Q959" i="12" s="1"/>
  <c r="O950" i="12"/>
  <c r="O958" i="12" s="1"/>
  <c r="O959" i="12" s="1"/>
  <c r="V950" i="12"/>
  <c r="V958" i="12" s="1"/>
  <c r="R950" i="12"/>
  <c r="R958" i="12" s="1"/>
  <c r="R959" i="12" s="1"/>
  <c r="N950" i="12"/>
  <c r="N958" i="12" s="1"/>
  <c r="N959" i="12" s="1"/>
  <c r="U950" i="12"/>
  <c r="U958" i="12" s="1"/>
  <c r="P950" i="12"/>
  <c r="P958" i="12" s="1"/>
  <c r="P959" i="12" s="1"/>
  <c r="U433" i="12"/>
  <c r="U438" i="12"/>
  <c r="U436" i="12"/>
  <c r="U432" i="12"/>
  <c r="U434" i="12"/>
  <c r="U440" i="12"/>
  <c r="U439" i="12"/>
  <c r="U442" i="12"/>
  <c r="U441" i="12"/>
  <c r="U437" i="12"/>
  <c r="U443" i="12"/>
  <c r="U435" i="12"/>
  <c r="V18" i="12"/>
  <c r="U1026" i="12" s="1"/>
  <c r="V406" i="12"/>
  <c r="V1103" i="12"/>
  <c r="V1172" i="12"/>
  <c r="T980" i="12"/>
  <c r="S927" i="12"/>
  <c r="S938" i="12" s="1"/>
  <c r="T158" i="12"/>
  <c r="T205" i="12"/>
  <c r="T69" i="12" s="1"/>
  <c r="U150" i="12"/>
  <c r="U215" i="12" s="1"/>
  <c r="T957" i="12"/>
  <c r="S933" i="12"/>
  <c r="T933" i="12" s="1"/>
  <c r="U933" i="12" s="1"/>
  <c r="N1527" i="12"/>
  <c r="V1517" i="12"/>
  <c r="V1520" i="12" s="1"/>
  <c r="V839" i="12"/>
  <c r="V427" i="12"/>
  <c r="M266" i="12"/>
  <c r="V966" i="12"/>
  <c r="V63" i="12"/>
  <c r="T937" i="12"/>
  <c r="U937" i="12" s="1"/>
  <c r="V937" i="12" s="1"/>
  <c r="U936" i="12"/>
  <c r="V936" i="12" s="1"/>
  <c r="U935" i="12"/>
  <c r="V935" i="12" s="1"/>
  <c r="V922" i="12"/>
  <c r="V901" i="12"/>
  <c r="V989" i="12"/>
  <c r="V303" i="12"/>
  <c r="V1388" i="12"/>
  <c r="L391" i="12"/>
  <c r="M391" i="12" s="1"/>
  <c r="T1201" i="12"/>
  <c r="T214" i="12" s="1"/>
  <c r="U1199" i="12"/>
  <c r="K274" i="12" l="1"/>
  <c r="M496" i="12"/>
  <c r="M505" i="12" s="1"/>
  <c r="L502" i="12"/>
  <c r="M506" i="12" s="1"/>
  <c r="K369" i="12"/>
  <c r="M810" i="12"/>
  <c r="M615" i="12"/>
  <c r="M616" i="12" s="1"/>
  <c r="M622" i="12" s="1"/>
  <c r="M586" i="12"/>
  <c r="M587" i="12" s="1"/>
  <c r="M593" i="12" s="1"/>
  <c r="T1003" i="12"/>
  <c r="T188" i="12"/>
  <c r="P256" i="12"/>
  <c r="Q256" i="12" s="1"/>
  <c r="R256" i="12" s="1"/>
  <c r="S256" i="12" s="1"/>
  <c r="T256" i="12" s="1"/>
  <c r="U256" i="12" s="1"/>
  <c r="V256" i="12" s="1"/>
  <c r="M1284" i="12"/>
  <c r="L386" i="12"/>
  <c r="M386" i="12" s="1"/>
  <c r="M368" i="12" s="1"/>
  <c r="M134" i="12" s="1"/>
  <c r="M137" i="12" s="1"/>
  <c r="S336" i="12"/>
  <c r="T927" i="12"/>
  <c r="T939" i="12" s="1"/>
  <c r="U939" i="12" s="1"/>
  <c r="V939" i="12" s="1"/>
  <c r="L394" i="12"/>
  <c r="M394" i="12" s="1"/>
  <c r="N394" i="12" s="1"/>
  <c r="N376" i="12" s="1"/>
  <c r="N270" i="12" s="1"/>
  <c r="N261" i="12"/>
  <c r="N327" i="12" s="1"/>
  <c r="L377" i="12"/>
  <c r="O285" i="12"/>
  <c r="O328" i="12" s="1"/>
  <c r="N272" i="12"/>
  <c r="N78" i="12" s="1"/>
  <c r="M328" i="12"/>
  <c r="K368" i="12"/>
  <c r="L271" i="12"/>
  <c r="K249" i="12"/>
  <c r="O1338" i="12"/>
  <c r="L253" i="12" s="1"/>
  <c r="K253" i="12" s="1"/>
  <c r="K255" i="12" s="1"/>
  <c r="M1379" i="12"/>
  <c r="L273" i="12"/>
  <c r="L525" i="12" s="1"/>
  <c r="O392" i="12"/>
  <c r="P392" i="12" s="1"/>
  <c r="Q392" i="12" s="1"/>
  <c r="K271" i="12"/>
  <c r="L372" i="12"/>
  <c r="K371" i="12"/>
  <c r="K377" i="12"/>
  <c r="O389" i="12"/>
  <c r="P389" i="12" s="1"/>
  <c r="N393" i="12"/>
  <c r="N375" i="12" s="1"/>
  <c r="N269" i="12" s="1"/>
  <c r="O387" i="12"/>
  <c r="P387" i="12" s="1"/>
  <c r="O388" i="12"/>
  <c r="P388" i="12" s="1"/>
  <c r="Q388" i="12" s="1"/>
  <c r="T959" i="12"/>
  <c r="I1340" i="12"/>
  <c r="K1340" i="12"/>
  <c r="N951" i="12"/>
  <c r="O949" i="12" s="1"/>
  <c r="O951" i="12" s="1"/>
  <c r="P949" i="12" s="1"/>
  <c r="P951" i="12" s="1"/>
  <c r="Q949" i="12" s="1"/>
  <c r="Q951" i="12" s="1"/>
  <c r="R949" i="12" s="1"/>
  <c r="R951" i="12" s="1"/>
  <c r="S949" i="12" s="1"/>
  <c r="S951" i="12" s="1"/>
  <c r="T949" i="12" s="1"/>
  <c r="T951" i="12" s="1"/>
  <c r="U949" i="12" s="1"/>
  <c r="U951" i="12" s="1"/>
  <c r="V949" i="12" s="1"/>
  <c r="V951" i="12" s="1"/>
  <c r="V442" i="12"/>
  <c r="V433" i="12"/>
  <c r="V441" i="12"/>
  <c r="V434" i="12"/>
  <c r="V439" i="12"/>
  <c r="V440" i="12"/>
  <c r="V438" i="12"/>
  <c r="V443" i="12"/>
  <c r="V436" i="12"/>
  <c r="V435" i="12"/>
  <c r="V437" i="12"/>
  <c r="V432" i="12"/>
  <c r="Q1026" i="12"/>
  <c r="S1026" i="12"/>
  <c r="P1026" i="12"/>
  <c r="N1026" i="12"/>
  <c r="R1026" i="12"/>
  <c r="T1026" i="12"/>
  <c r="M1026" i="12"/>
  <c r="V1026" i="12"/>
  <c r="O1026" i="12"/>
  <c r="V20" i="12"/>
  <c r="V22" i="12" s="1"/>
  <c r="V25" i="12" s="1"/>
  <c r="V29" i="12" s="1"/>
  <c r="U980" i="12"/>
  <c r="T334" i="12"/>
  <c r="T336" i="12" s="1"/>
  <c r="U957" i="12"/>
  <c r="U959" i="12" s="1"/>
  <c r="U205" i="12"/>
  <c r="U69" i="12" s="1"/>
  <c r="V150" i="12"/>
  <c r="V215" i="12" s="1"/>
  <c r="U158" i="12"/>
  <c r="V933" i="12"/>
  <c r="N266" i="12"/>
  <c r="P260" i="12"/>
  <c r="T938" i="12"/>
  <c r="U938" i="12" s="1"/>
  <c r="V938" i="12" s="1"/>
  <c r="N391" i="12"/>
  <c r="N373" i="12" s="1"/>
  <c r="V1199" i="12"/>
  <c r="V1201" i="12" s="1"/>
  <c r="U1201" i="12"/>
  <c r="U214" i="12" s="1"/>
  <c r="M507" i="12" l="1"/>
  <c r="M879" i="12" s="1"/>
  <c r="M519" i="12"/>
  <c r="L516" i="12"/>
  <c r="L75" i="12"/>
  <c r="M578" i="12"/>
  <c r="L1332" i="12"/>
  <c r="L1337" i="12" s="1"/>
  <c r="L1347" i="12" s="1"/>
  <c r="M599" i="12"/>
  <c r="M621" i="12" s="1"/>
  <c r="M623" i="12" s="1"/>
  <c r="M882" i="12" s="1"/>
  <c r="M607" i="12"/>
  <c r="M570" i="12"/>
  <c r="U1003" i="12"/>
  <c r="U188" i="12"/>
  <c r="D37" i="12"/>
  <c r="L1377" i="12"/>
  <c r="L1378" i="12" s="1"/>
  <c r="L1379" i="12" s="1"/>
  <c r="V214" i="12"/>
  <c r="N386" i="12"/>
  <c r="N368" i="12" s="1"/>
  <c r="N248" i="12" s="1"/>
  <c r="M248" i="12"/>
  <c r="M396" i="12"/>
  <c r="U334" i="12"/>
  <c r="U1401" i="12" s="1"/>
  <c r="K273" i="12"/>
  <c r="O394" i="12"/>
  <c r="P394" i="12" s="1"/>
  <c r="Q394" i="12" s="1"/>
  <c r="L378" i="12"/>
  <c r="O261" i="12"/>
  <c r="O327" i="12" s="1"/>
  <c r="P285" i="12"/>
  <c r="P328" i="12" s="1"/>
  <c r="O272" i="12"/>
  <c r="O78" i="12" s="1"/>
  <c r="K372" i="12"/>
  <c r="K378" i="12" s="1"/>
  <c r="O1340" i="12"/>
  <c r="I1476" i="12"/>
  <c r="N377" i="12"/>
  <c r="O393" i="12"/>
  <c r="P393" i="12" s="1"/>
  <c r="Q393" i="12" s="1"/>
  <c r="R393" i="12" s="1"/>
  <c r="L1053" i="12"/>
  <c r="M1051" i="12" s="1"/>
  <c r="V957" i="12"/>
  <c r="V959" i="12" s="1"/>
  <c r="T1401" i="12"/>
  <c r="V205" i="12"/>
  <c r="V69" i="12" s="1"/>
  <c r="V158" i="12"/>
  <c r="V980" i="12"/>
  <c r="U927" i="12"/>
  <c r="U940" i="12" s="1"/>
  <c r="V940" i="12" s="1"/>
  <c r="O266" i="12"/>
  <c r="P266" i="12" s="1"/>
  <c r="Q260" i="12"/>
  <c r="R392" i="12"/>
  <c r="O391" i="12"/>
  <c r="R388" i="12"/>
  <c r="Q389" i="12"/>
  <c r="Q387" i="12"/>
  <c r="L1107" i="12" l="1"/>
  <c r="L1120" i="12" s="1"/>
  <c r="F37" i="12"/>
  <c r="M592" i="12"/>
  <c r="M594" i="12" s="1"/>
  <c r="M881" i="12" s="1"/>
  <c r="L531" i="12"/>
  <c r="M528" i="12" s="1"/>
  <c r="M520" i="12" s="1"/>
  <c r="M512" i="12"/>
  <c r="M534" i="12" s="1"/>
  <c r="M744" i="12"/>
  <c r="M601" i="12"/>
  <c r="M467" i="12" s="1"/>
  <c r="M572" i="12"/>
  <c r="V1003" i="12"/>
  <c r="V188" i="12"/>
  <c r="N372" i="12"/>
  <c r="N378" i="12" s="1"/>
  <c r="N134" i="12"/>
  <c r="N137" i="12" s="1"/>
  <c r="O386" i="12"/>
  <c r="P386" i="12" s="1"/>
  <c r="Q386" i="12" s="1"/>
  <c r="N396" i="12"/>
  <c r="U336" i="12"/>
  <c r="V927" i="12"/>
  <c r="V941" i="12" s="1"/>
  <c r="P261" i="12"/>
  <c r="Q261" i="12" s="1"/>
  <c r="R261" i="12" s="1"/>
  <c r="P272" i="12"/>
  <c r="P78" i="12" s="1"/>
  <c r="Q285" i="12"/>
  <c r="R285" i="12" s="1"/>
  <c r="L1381" i="12"/>
  <c r="V334" i="12"/>
  <c r="V1401" i="12" s="1"/>
  <c r="Q266" i="12"/>
  <c r="R260" i="12"/>
  <c r="N267" i="12"/>
  <c r="P391" i="12"/>
  <c r="S392" i="12"/>
  <c r="S393" i="12"/>
  <c r="R394" i="12"/>
  <c r="R387" i="12"/>
  <c r="S388" i="12"/>
  <c r="R389" i="12"/>
  <c r="M766" i="12" l="1"/>
  <c r="M514" i="12"/>
  <c r="M522" i="12" s="1"/>
  <c r="M746" i="12"/>
  <c r="M609" i="12"/>
  <c r="M580" i="12"/>
  <c r="M466" i="12"/>
  <c r="P327" i="12"/>
  <c r="Q327" i="12"/>
  <c r="Q328" i="12"/>
  <c r="Q272" i="12"/>
  <c r="Q78" i="12" s="1"/>
  <c r="R386" i="12"/>
  <c r="S386" i="12" s="1"/>
  <c r="R327" i="12"/>
  <c r="V336" i="12"/>
  <c r="S261" i="12"/>
  <c r="R328" i="12"/>
  <c r="S285" i="12"/>
  <c r="N271" i="12"/>
  <c r="R266" i="12"/>
  <c r="S260" i="12"/>
  <c r="S394" i="12"/>
  <c r="T392" i="12"/>
  <c r="T393" i="12"/>
  <c r="Q391" i="12"/>
  <c r="S389" i="12"/>
  <c r="S387" i="12"/>
  <c r="T388" i="12"/>
  <c r="M942" i="12"/>
  <c r="M754" i="12" l="1"/>
  <c r="M472" i="12"/>
  <c r="R272" i="12"/>
  <c r="S272" i="12" s="1"/>
  <c r="T272" i="12" s="1"/>
  <c r="S327" i="12"/>
  <c r="M956" i="12"/>
  <c r="M955" i="12" s="1"/>
  <c r="T261" i="12"/>
  <c r="T285" i="12"/>
  <c r="S328" i="12"/>
  <c r="S266" i="12"/>
  <c r="T260" i="12"/>
  <c r="U393" i="12"/>
  <c r="T394" i="12"/>
  <c r="R391" i="12"/>
  <c r="U392" i="12"/>
  <c r="T386" i="12"/>
  <c r="T389" i="12"/>
  <c r="U388" i="12"/>
  <c r="T387" i="12"/>
  <c r="O942" i="12"/>
  <c r="O956" i="12" s="1"/>
  <c r="O955" i="12" s="1"/>
  <c r="N942" i="12"/>
  <c r="N956" i="12" s="1"/>
  <c r="N955" i="12" s="1"/>
  <c r="P942" i="12"/>
  <c r="P956" i="12" s="1"/>
  <c r="P955" i="12" s="1"/>
  <c r="Q942" i="12"/>
  <c r="Q956" i="12" s="1"/>
  <c r="Q955" i="12" s="1"/>
  <c r="S78" i="12" l="1"/>
  <c r="R78" i="12"/>
  <c r="T327" i="12"/>
  <c r="U261" i="12"/>
  <c r="T328" i="12"/>
  <c r="U285" i="12"/>
  <c r="T266" i="12"/>
  <c r="U260" i="12"/>
  <c r="V392" i="12"/>
  <c r="U394" i="12"/>
  <c r="S391" i="12"/>
  <c r="V393" i="12"/>
  <c r="V388" i="12"/>
  <c r="U386" i="12"/>
  <c r="U387" i="12"/>
  <c r="U389" i="12"/>
  <c r="U272" i="12"/>
  <c r="T78" i="12"/>
  <c r="U327" i="12" l="1"/>
  <c r="V261" i="12"/>
  <c r="V327" i="12" s="1"/>
  <c r="V285" i="12"/>
  <c r="U328" i="12"/>
  <c r="U266" i="12"/>
  <c r="V260" i="12"/>
  <c r="V394" i="12"/>
  <c r="T391" i="12"/>
  <c r="V387" i="12"/>
  <c r="V389" i="12"/>
  <c r="V386" i="12"/>
  <c r="V272" i="12"/>
  <c r="U78" i="12"/>
  <c r="V44" i="12"/>
  <c r="V33" i="12" s="1"/>
  <c r="V328" i="12" l="1"/>
  <c r="V78" i="12"/>
  <c r="V266" i="12"/>
  <c r="V43" i="12"/>
  <c r="U391" i="12"/>
  <c r="V391" i="12" l="1"/>
  <c r="M155" i="12" l="1"/>
  <c r="M1001" i="12" l="1"/>
  <c r="M1400" i="12"/>
  <c r="M309" i="12"/>
  <c r="M216" i="12"/>
  <c r="M253" i="12"/>
  <c r="L255" i="12"/>
  <c r="M254" i="12" l="1"/>
  <c r="N253" i="12"/>
  <c r="M255" i="12" l="1"/>
  <c r="O253" i="12"/>
  <c r="M130" i="12" l="1"/>
  <c r="P253" i="12"/>
  <c r="Q253" i="12" l="1"/>
  <c r="M909" i="12" l="1"/>
  <c r="M910" i="12"/>
  <c r="L1590" i="12"/>
  <c r="L1578" i="12"/>
  <c r="M906" i="12"/>
  <c r="M907" i="12"/>
  <c r="F18" i="12"/>
  <c r="F20" i="12"/>
  <c r="F15" i="12"/>
  <c r="F21" i="12"/>
  <c r="M908" i="12"/>
  <c r="L1602" i="12"/>
  <c r="F31" i="12"/>
  <c r="F17" i="12"/>
  <c r="F19" i="12"/>
  <c r="N906" i="12" l="1"/>
  <c r="O906" i="12" s="1"/>
  <c r="N910" i="12"/>
  <c r="O910" i="12" s="1"/>
  <c r="N908" i="12"/>
  <c r="N907" i="12"/>
  <c r="O907" i="12" s="1"/>
  <c r="N909" i="12"/>
  <c r="O909" i="12" s="1"/>
  <c r="L76" i="12"/>
  <c r="I1486" i="12"/>
  <c r="I1487" i="12"/>
  <c r="I1483" i="12"/>
  <c r="I1480" i="12"/>
  <c r="I1482" i="12"/>
  <c r="I1481" i="12"/>
  <c r="P910" i="12" l="1"/>
  <c r="Q910" i="12" s="1"/>
  <c r="R910" i="12" s="1"/>
  <c r="O908" i="12"/>
  <c r="P908" i="12" s="1"/>
  <c r="Q908" i="12" s="1"/>
  <c r="P906" i="12"/>
  <c r="Q906" i="12" s="1"/>
  <c r="P907" i="12"/>
  <c r="P909" i="12"/>
  <c r="I1477" i="12"/>
  <c r="M287" i="12"/>
  <c r="L77" i="12"/>
  <c r="R906" i="12" l="1"/>
  <c r="S906" i="12" s="1"/>
  <c r="T906" i="12" s="1"/>
  <c r="R908" i="12"/>
  <c r="S908" i="12" s="1"/>
  <c r="T908" i="12" s="1"/>
  <c r="U908" i="12" s="1"/>
  <c r="Q907" i="12"/>
  <c r="R907" i="12" s="1"/>
  <c r="S910" i="12"/>
  <c r="Q909" i="12"/>
  <c r="R909" i="12" s="1"/>
  <c r="M163" i="12"/>
  <c r="N287" i="12"/>
  <c r="M77" i="12"/>
  <c r="M521" i="12" l="1"/>
  <c r="V908" i="12"/>
  <c r="S909" i="12"/>
  <c r="T909" i="12" s="1"/>
  <c r="U909" i="12" s="1"/>
  <c r="V909" i="12" s="1"/>
  <c r="S907" i="12"/>
  <c r="T907" i="12" s="1"/>
  <c r="U907" i="12" s="1"/>
  <c r="T910" i="12"/>
  <c r="U910" i="12" s="1"/>
  <c r="V910" i="12" s="1"/>
  <c r="U906" i="12"/>
  <c r="V906" i="12" s="1"/>
  <c r="O287" i="12"/>
  <c r="N77" i="12"/>
  <c r="C1427" i="12"/>
  <c r="C1435" i="12"/>
  <c r="C1446" i="12"/>
  <c r="C1453" i="12"/>
  <c r="C1429" i="12"/>
  <c r="M168" i="12" l="1"/>
  <c r="M658" i="12"/>
  <c r="M1573" i="12" s="1"/>
  <c r="M167" i="12"/>
  <c r="M629" i="12"/>
  <c r="M1560" i="12" s="1"/>
  <c r="M166" i="12"/>
  <c r="M600" i="12"/>
  <c r="M169" i="12"/>
  <c r="M687" i="12"/>
  <c r="M319" i="12" s="1"/>
  <c r="M182" i="12"/>
  <c r="M803" i="12"/>
  <c r="M1598" i="12" s="1"/>
  <c r="V907" i="12"/>
  <c r="O77" i="12"/>
  <c r="P287" i="12"/>
  <c r="C1447" i="12"/>
  <c r="C1454" i="12"/>
  <c r="C1436" i="12"/>
  <c r="C1452" i="12"/>
  <c r="C1434" i="12"/>
  <c r="C1445" i="12"/>
  <c r="M323" i="12" l="1"/>
  <c r="M318" i="12"/>
  <c r="M317" i="12"/>
  <c r="M637" i="12"/>
  <c r="M695" i="12"/>
  <c r="M170" i="12"/>
  <c r="M716" i="12"/>
  <c r="M320" i="12" s="1"/>
  <c r="Q287" i="12"/>
  <c r="P77" i="12"/>
  <c r="Q77" i="12" l="1"/>
  <c r="F255" i="12" l="1"/>
  <c r="G255" i="12"/>
  <c r="H255" i="12"/>
  <c r="I255" i="12"/>
  <c r="O153" i="12"/>
  <c r="O382" i="12"/>
  <c r="O370" i="12" l="1"/>
  <c r="O375" i="12"/>
  <c r="O269" i="12" s="1"/>
  <c r="O368" i="12"/>
  <c r="O151" i="12"/>
  <c r="O396" i="12" l="1"/>
  <c r="O134" i="12"/>
  <c r="O137" i="12" s="1"/>
  <c r="O383" i="12"/>
  <c r="O250" i="12"/>
  <c r="O248" i="12"/>
  <c r="O152" i="12"/>
  <c r="O376" i="12" l="1"/>
  <c r="O270" i="12" s="1"/>
  <c r="O369" i="12"/>
  <c r="O384" i="12" s="1"/>
  <c r="O374" i="12"/>
  <c r="O268" i="12" s="1"/>
  <c r="O371" i="12"/>
  <c r="O251" i="12" s="1"/>
  <c r="O373" i="12"/>
  <c r="O154" i="12"/>
  <c r="O68" i="12" s="1"/>
  <c r="O224" i="12"/>
  <c r="O133" i="12" l="1"/>
  <c r="O136" i="12" s="1"/>
  <c r="O135" i="12"/>
  <c r="O138" i="12" s="1"/>
  <c r="O1000" i="12"/>
  <c r="O1525" i="12"/>
  <c r="O399" i="12"/>
  <c r="O398" i="12"/>
  <c r="O397" i="12"/>
  <c r="O372" i="12"/>
  <c r="O377" i="12"/>
  <c r="O267" i="12"/>
  <c r="O271" i="12" s="1"/>
  <c r="O249" i="12"/>
  <c r="O1395" i="12"/>
  <c r="O225" i="12"/>
  <c r="P151" i="12"/>
  <c r="Q151" i="12"/>
  <c r="R151" i="12"/>
  <c r="S151" i="12"/>
  <c r="T151" i="12"/>
  <c r="U151" i="12"/>
  <c r="V151" i="12"/>
  <c r="P153" i="12"/>
  <c r="Q153" i="12"/>
  <c r="R153" i="12"/>
  <c r="S153" i="12"/>
  <c r="T153" i="12"/>
  <c r="U153" i="12"/>
  <c r="V153" i="12"/>
  <c r="P382" i="12"/>
  <c r="Q382" i="12"/>
  <c r="R382" i="12"/>
  <c r="S382" i="12"/>
  <c r="T382" i="12"/>
  <c r="U382" i="12"/>
  <c r="V382" i="12"/>
  <c r="O378" i="12" l="1"/>
  <c r="O325" i="12" s="1"/>
  <c r="O70" i="12" s="1"/>
  <c r="U370" i="12"/>
  <c r="U375" i="12"/>
  <c r="U269" i="12" s="1"/>
  <c r="U368" i="12"/>
  <c r="Q370" i="12"/>
  <c r="Q375" i="12"/>
  <c r="Q269" i="12" s="1"/>
  <c r="Q368" i="12"/>
  <c r="T375" i="12"/>
  <c r="T269" i="12" s="1"/>
  <c r="T370" i="12"/>
  <c r="T368" i="12"/>
  <c r="P375" i="12"/>
  <c r="P269" i="12" s="1"/>
  <c r="P370" i="12"/>
  <c r="P368" i="12"/>
  <c r="S370" i="12"/>
  <c r="S375" i="12"/>
  <c r="S269" i="12" s="1"/>
  <c r="S368" i="12"/>
  <c r="V375" i="12"/>
  <c r="V269" i="12" s="1"/>
  <c r="V370" i="12"/>
  <c r="V250" i="12" s="1"/>
  <c r="V368" i="12"/>
  <c r="R375" i="12"/>
  <c r="R269" i="12" s="1"/>
  <c r="R370" i="12"/>
  <c r="R368" i="12"/>
  <c r="O1527" i="12"/>
  <c r="R152" i="12"/>
  <c r="S152" i="12"/>
  <c r="V152" i="12"/>
  <c r="T152" i="12"/>
  <c r="P152" i="12"/>
  <c r="S383" i="12"/>
  <c r="R383" i="12"/>
  <c r="R287" i="12"/>
  <c r="R312" i="12"/>
  <c r="P383" i="12"/>
  <c r="T383" i="12"/>
  <c r="U152" i="12"/>
  <c r="U383" i="12"/>
  <c r="Q152" i="12"/>
  <c r="Q383" i="12"/>
  <c r="R253" i="12"/>
  <c r="V383" i="12"/>
  <c r="T134" i="12" l="1"/>
  <c r="T137" i="12" s="1"/>
  <c r="R134" i="12"/>
  <c r="R137" i="12" s="1"/>
  <c r="Q134" i="12"/>
  <c r="Q137" i="12" s="1"/>
  <c r="P134" i="12"/>
  <c r="P137" i="12" s="1"/>
  <c r="V134" i="12"/>
  <c r="V137" i="12" s="1"/>
  <c r="S134" i="12"/>
  <c r="S137" i="12" s="1"/>
  <c r="U134" i="12"/>
  <c r="U137" i="12" s="1"/>
  <c r="R396" i="12"/>
  <c r="Q396" i="12"/>
  <c r="U396" i="12"/>
  <c r="T396" i="12"/>
  <c r="V396" i="12"/>
  <c r="P396" i="12"/>
  <c r="S396" i="12"/>
  <c r="T374" i="12"/>
  <c r="T268" i="12" s="1"/>
  <c r="T371" i="12"/>
  <c r="T251" i="12" s="1"/>
  <c r="T376" i="12"/>
  <c r="T270" i="12" s="1"/>
  <c r="T369" i="12"/>
  <c r="T373" i="12"/>
  <c r="R374" i="12"/>
  <c r="R268" i="12" s="1"/>
  <c r="R369" i="12"/>
  <c r="R371" i="12"/>
  <c r="R376" i="12"/>
  <c r="R270" i="12" s="1"/>
  <c r="R373" i="12"/>
  <c r="V374" i="12"/>
  <c r="V268" i="12" s="1"/>
  <c r="V376" i="12"/>
  <c r="V270" i="12" s="1"/>
  <c r="V371" i="12"/>
  <c r="V251" i="12" s="1"/>
  <c r="V369" i="12"/>
  <c r="V373" i="12"/>
  <c r="P374" i="12"/>
  <c r="P268" i="12" s="1"/>
  <c r="P371" i="12"/>
  <c r="P251" i="12" s="1"/>
  <c r="P376" i="12"/>
  <c r="P270" i="12" s="1"/>
  <c r="P369" i="12"/>
  <c r="P384" i="12" s="1"/>
  <c r="P373" i="12"/>
  <c r="S374" i="12"/>
  <c r="S268" i="12" s="1"/>
  <c r="S371" i="12"/>
  <c r="S251" i="12" s="1"/>
  <c r="S376" i="12"/>
  <c r="S270" i="12" s="1"/>
  <c r="S369" i="12"/>
  <c r="S373" i="12"/>
  <c r="U374" i="12"/>
  <c r="U268" i="12" s="1"/>
  <c r="U376" i="12"/>
  <c r="U270" i="12" s="1"/>
  <c r="U369" i="12"/>
  <c r="U371" i="12"/>
  <c r="U251" i="12" s="1"/>
  <c r="U373" i="12"/>
  <c r="Q374" i="12"/>
  <c r="Q268" i="12" s="1"/>
  <c r="Q376" i="12"/>
  <c r="Q270" i="12" s="1"/>
  <c r="Q369" i="12"/>
  <c r="Q371" i="12"/>
  <c r="Q251" i="12" s="1"/>
  <c r="Q373" i="12"/>
  <c r="R154" i="12"/>
  <c r="P154" i="12"/>
  <c r="V154" i="12"/>
  <c r="T224" i="12"/>
  <c r="T154" i="12"/>
  <c r="T68" i="12" s="1"/>
  <c r="S224" i="12"/>
  <c r="S154" i="12"/>
  <c r="S68" i="12" s="1"/>
  <c r="P224" i="12"/>
  <c r="V224" i="12"/>
  <c r="R224" i="12"/>
  <c r="R77" i="12"/>
  <c r="S250" i="12"/>
  <c r="R250" i="12"/>
  <c r="P250" i="12"/>
  <c r="Q250" i="12"/>
  <c r="T250" i="12"/>
  <c r="U250" i="12"/>
  <c r="V248" i="12"/>
  <c r="R248" i="12"/>
  <c r="S248" i="12"/>
  <c r="Q154" i="12"/>
  <c r="Q68" i="12" s="1"/>
  <c r="Q224" i="12"/>
  <c r="U154" i="12"/>
  <c r="U68" i="12" s="1"/>
  <c r="U224" i="12"/>
  <c r="P248" i="12"/>
  <c r="T248" i="12"/>
  <c r="R942" i="12"/>
  <c r="R956" i="12" s="1"/>
  <c r="R955" i="12" s="1"/>
  <c r="O1402" i="12"/>
  <c r="S287" i="12"/>
  <c r="U248" i="12"/>
  <c r="S253" i="12"/>
  <c r="Q248" i="12"/>
  <c r="U384" i="12" l="1"/>
  <c r="U397" i="12" s="1"/>
  <c r="T133" i="12"/>
  <c r="T136" i="12" s="1"/>
  <c r="R133" i="12"/>
  <c r="R136" i="12" s="1"/>
  <c r="S133" i="12"/>
  <c r="S136" i="12" s="1"/>
  <c r="U133" i="12"/>
  <c r="U136" i="12" s="1"/>
  <c r="Q133" i="12"/>
  <c r="Q136" i="12" s="1"/>
  <c r="P133" i="12"/>
  <c r="P136" i="12" s="1"/>
  <c r="V133" i="12"/>
  <c r="V136" i="12" s="1"/>
  <c r="R135" i="12"/>
  <c r="R138" i="12" s="1"/>
  <c r="T135" i="12"/>
  <c r="T138" i="12" s="1"/>
  <c r="U135" i="12"/>
  <c r="U138" i="12" s="1"/>
  <c r="Q135" i="12"/>
  <c r="Q138" i="12" s="1"/>
  <c r="P135" i="12"/>
  <c r="P138" i="12" s="1"/>
  <c r="V135" i="12"/>
  <c r="V138" i="12" s="1"/>
  <c r="S135" i="12"/>
  <c r="S138" i="12" s="1"/>
  <c r="R1525" i="12"/>
  <c r="R68" i="12"/>
  <c r="V1525" i="12"/>
  <c r="V68" i="12"/>
  <c r="P1525" i="12"/>
  <c r="P68" i="12"/>
  <c r="T1000" i="12"/>
  <c r="T1525" i="12"/>
  <c r="U1000" i="12"/>
  <c r="U1525" i="12"/>
  <c r="S1000" i="12"/>
  <c r="S1525" i="12"/>
  <c r="Q1000" i="12"/>
  <c r="Q1525" i="12"/>
  <c r="T398" i="12"/>
  <c r="Q399" i="12"/>
  <c r="R399" i="12"/>
  <c r="U398" i="12"/>
  <c r="S399" i="12"/>
  <c r="S398" i="12"/>
  <c r="V399" i="12"/>
  <c r="P397" i="12"/>
  <c r="V398" i="12"/>
  <c r="R398" i="12"/>
  <c r="Q398" i="12"/>
  <c r="P399" i="12"/>
  <c r="T399" i="12"/>
  <c r="U399" i="12"/>
  <c r="P398" i="12"/>
  <c r="Q384" i="12"/>
  <c r="Q397" i="12" s="1"/>
  <c r="S384" i="12"/>
  <c r="S397" i="12" s="1"/>
  <c r="R249" i="12"/>
  <c r="R384" i="12"/>
  <c r="R397" i="12" s="1"/>
  <c r="T249" i="12"/>
  <c r="T384" i="12"/>
  <c r="T397" i="12" s="1"/>
  <c r="V249" i="12"/>
  <c r="V384" i="12"/>
  <c r="V397" i="12" s="1"/>
  <c r="P372" i="12"/>
  <c r="S372" i="12"/>
  <c r="P377" i="12"/>
  <c r="R372" i="12"/>
  <c r="V372" i="12"/>
  <c r="R251" i="12"/>
  <c r="S249" i="12"/>
  <c r="Q372" i="12"/>
  <c r="T372" i="12"/>
  <c r="U372" i="12"/>
  <c r="S377" i="12"/>
  <c r="T377" i="12"/>
  <c r="R377" i="12"/>
  <c r="U377" i="12"/>
  <c r="Q377" i="12"/>
  <c r="V377" i="12"/>
  <c r="V1000" i="12"/>
  <c r="P1395" i="12"/>
  <c r="P1000" i="12"/>
  <c r="R1395" i="12"/>
  <c r="R1000" i="12"/>
  <c r="V1395" i="12"/>
  <c r="R225" i="12"/>
  <c r="P225" i="12"/>
  <c r="V225" i="12"/>
  <c r="U225" i="12"/>
  <c r="S1395" i="12"/>
  <c r="T225" i="12"/>
  <c r="S225" i="12"/>
  <c r="T1395" i="12"/>
  <c r="S77" i="12"/>
  <c r="R267" i="12"/>
  <c r="S267" i="12"/>
  <c r="V267" i="12"/>
  <c r="T267" i="12"/>
  <c r="Q1395" i="12"/>
  <c r="U1395" i="12"/>
  <c r="Q225" i="12"/>
  <c r="S942" i="12"/>
  <c r="S956" i="12" s="1"/>
  <c r="S955" i="12" s="1"/>
  <c r="T287" i="12"/>
  <c r="P249" i="12"/>
  <c r="P267" i="12"/>
  <c r="S312" i="12"/>
  <c r="U267" i="12"/>
  <c r="T253" i="12"/>
  <c r="U249" i="12"/>
  <c r="Q249" i="12"/>
  <c r="Q267" i="12"/>
  <c r="P378" i="12" l="1"/>
  <c r="Q378" i="12"/>
  <c r="S378" i="12"/>
  <c r="R378" i="12"/>
  <c r="V378" i="12"/>
  <c r="U378" i="12"/>
  <c r="T378" i="12"/>
  <c r="Q1527" i="12"/>
  <c r="P1527" i="12"/>
  <c r="U1527" i="12"/>
  <c r="V1527" i="12"/>
  <c r="T1527" i="12"/>
  <c r="S1527" i="12"/>
  <c r="R1527" i="12"/>
  <c r="T77" i="12"/>
  <c r="V271" i="12"/>
  <c r="R271" i="12"/>
  <c r="U271" i="12"/>
  <c r="T271" i="12"/>
  <c r="P271" i="12"/>
  <c r="S271" i="12"/>
  <c r="Q271" i="12"/>
  <c r="Q1408" i="12"/>
  <c r="T942" i="12"/>
  <c r="T956" i="12" s="1"/>
  <c r="T955" i="12" s="1"/>
  <c r="U287" i="12"/>
  <c r="T312" i="12"/>
  <c r="U253" i="12"/>
  <c r="T325" i="12" l="1"/>
  <c r="S325" i="12"/>
  <c r="S70" i="12" s="1"/>
  <c r="U77" i="12"/>
  <c r="U942" i="12"/>
  <c r="U956" i="12" s="1"/>
  <c r="U955" i="12" s="1"/>
  <c r="Q325" i="12"/>
  <c r="Q70" i="12" s="1"/>
  <c r="P325" i="12"/>
  <c r="P70" i="12" s="1"/>
  <c r="V325" i="12"/>
  <c r="V70" i="12" s="1"/>
  <c r="U325" i="12"/>
  <c r="U70" i="12" s="1"/>
  <c r="R325" i="12"/>
  <c r="R70" i="12" s="1"/>
  <c r="V287" i="12"/>
  <c r="V312" i="12"/>
  <c r="U312" i="12"/>
  <c r="V253" i="12"/>
  <c r="T1402" i="12" l="1"/>
  <c r="T70" i="12"/>
  <c r="S1402" i="12"/>
  <c r="V77" i="12"/>
  <c r="U1402" i="12"/>
  <c r="R1402" i="12"/>
  <c r="P1402" i="12"/>
  <c r="V1402" i="12"/>
  <c r="Q1402" i="12"/>
  <c r="V942" i="12"/>
  <c r="V956" i="12" s="1"/>
  <c r="V955" i="12" s="1"/>
  <c r="N155" i="12" l="1"/>
  <c r="N1001" i="12" s="1"/>
  <c r="N216" i="12" l="1"/>
  <c r="N156" i="12"/>
  <c r="O155" i="12"/>
  <c r="O1001" i="12" s="1"/>
  <c r="N309" i="12"/>
  <c r="N1400" i="12"/>
  <c r="N226" i="12" l="1"/>
  <c r="N254" i="12"/>
  <c r="N1397" i="12"/>
  <c r="O1400" i="12"/>
  <c r="O309" i="12"/>
  <c r="P155" i="12"/>
  <c r="P1001" i="12" s="1"/>
  <c r="O216" i="12"/>
  <c r="O156" i="12"/>
  <c r="O226" i="12" l="1"/>
  <c r="N255" i="12"/>
  <c r="O254" i="12"/>
  <c r="O1397" i="12"/>
  <c r="P1400" i="12"/>
  <c r="P156" i="12"/>
  <c r="P216" i="12"/>
  <c r="Q155" i="12"/>
  <c r="Q1001" i="12" s="1"/>
  <c r="P309" i="12"/>
  <c r="N130" i="12" l="1"/>
  <c r="P1397" i="12"/>
  <c r="O255" i="12"/>
  <c r="O130" i="12" s="1"/>
  <c r="P254" i="12"/>
  <c r="P226" i="12"/>
  <c r="Q216" i="12"/>
  <c r="Q156" i="12"/>
  <c r="Q1400" i="12"/>
  <c r="Q309" i="12"/>
  <c r="R155" i="12"/>
  <c r="R1001" i="12" s="1"/>
  <c r="Q1397" i="12" l="1"/>
  <c r="R1400" i="12"/>
  <c r="P255" i="12"/>
  <c r="P130" i="12" s="1"/>
  <c r="Q254" i="12"/>
  <c r="Q226" i="12"/>
  <c r="R309" i="12"/>
  <c r="R216" i="12"/>
  <c r="R156" i="12"/>
  <c r="S155" i="12"/>
  <c r="S1001" i="12" s="1"/>
  <c r="S216" i="12" l="1"/>
  <c r="Q255" i="12"/>
  <c r="Q130" i="12" s="1"/>
  <c r="R254" i="12"/>
  <c r="R1397" i="12"/>
  <c r="S1400" i="12"/>
  <c r="S156" i="12"/>
  <c r="S309" i="12"/>
  <c r="R226" i="12"/>
  <c r="U155" i="12"/>
  <c r="U1001" i="12" s="1"/>
  <c r="T155" i="12"/>
  <c r="T1001" i="12" s="1"/>
  <c r="T156" i="12" l="1"/>
  <c r="T1397" i="12" s="1"/>
  <c r="S226" i="12"/>
  <c r="U1400" i="12"/>
  <c r="R255" i="12"/>
  <c r="R130" i="12" s="1"/>
  <c r="U156" i="12"/>
  <c r="S1397" i="12"/>
  <c r="U216" i="12"/>
  <c r="S254" i="12"/>
  <c r="U309" i="12"/>
  <c r="T1400" i="12"/>
  <c r="T309" i="12"/>
  <c r="T216" i="12"/>
  <c r="V155" i="12"/>
  <c r="V1001" i="12" s="1"/>
  <c r="V156" i="12" l="1"/>
  <c r="V1397" i="12" s="1"/>
  <c r="U226" i="12"/>
  <c r="T226" i="12"/>
  <c r="U1397" i="12"/>
  <c r="T254" i="12"/>
  <c r="S255" i="12"/>
  <c r="S130" i="12" s="1"/>
  <c r="V309" i="12"/>
  <c r="V216" i="12"/>
  <c r="V1400" i="12"/>
  <c r="V226" i="12" l="1"/>
  <c r="T255" i="12"/>
  <c r="U254" i="12"/>
  <c r="T130" i="12" l="1"/>
  <c r="U255" i="12"/>
  <c r="V254" i="12"/>
  <c r="U130" i="12" l="1"/>
  <c r="V255" i="12"/>
  <c r="V130" i="12" s="1"/>
  <c r="N1398" i="12" l="1"/>
  <c r="N1399" i="12" s="1"/>
  <c r="O1398" i="12"/>
  <c r="O1399" i="12" s="1"/>
  <c r="P1398" i="12"/>
  <c r="P1399" i="12" s="1"/>
  <c r="Q1398" i="12"/>
  <c r="Q1399" i="12" s="1"/>
  <c r="R1398" i="12"/>
  <c r="R1399" i="12" s="1"/>
  <c r="S1398" i="12"/>
  <c r="S1399" i="12" s="1"/>
  <c r="T1398" i="12"/>
  <c r="T1399" i="12" s="1"/>
  <c r="U1398" i="12"/>
  <c r="U1399" i="12" s="1"/>
  <c r="V1398" i="12"/>
  <c r="V1399" i="12" s="1"/>
  <c r="M152" i="12" l="1"/>
  <c r="M383" i="12"/>
  <c r="M376" i="12" l="1"/>
  <c r="M270" i="12" s="1"/>
  <c r="M374" i="12"/>
  <c r="M268" i="12" s="1"/>
  <c r="M369" i="12"/>
  <c r="M371" i="12"/>
  <c r="M251" i="12" s="1"/>
  <c r="M373" i="12"/>
  <c r="M154" i="12"/>
  <c r="M68" i="12" s="1"/>
  <c r="M224" i="12"/>
  <c r="M133" i="12" l="1"/>
  <c r="M136" i="12" s="1"/>
  <c r="N133" i="12"/>
  <c r="N136" i="12" s="1"/>
  <c r="M135" i="12"/>
  <c r="M138" i="12" s="1"/>
  <c r="N135" i="12"/>
  <c r="N138" i="12" s="1"/>
  <c r="M1000" i="12"/>
  <c r="M1525" i="12"/>
  <c r="M1527" i="12" s="1"/>
  <c r="M399" i="12"/>
  <c r="N398" i="12"/>
  <c r="N399" i="12"/>
  <c r="M398" i="12"/>
  <c r="M384" i="12"/>
  <c r="M397" i="12" s="1"/>
  <c r="N384" i="12"/>
  <c r="N397" i="12" s="1"/>
  <c r="M377" i="12"/>
  <c r="M372" i="12"/>
  <c r="M249" i="12"/>
  <c r="O37" i="12"/>
  <c r="M225" i="12"/>
  <c r="M156" i="12"/>
  <c r="M1395" i="12"/>
  <c r="M267" i="12"/>
  <c r="M378" i="12" l="1"/>
  <c r="N325" i="12" s="1"/>
  <c r="N70" i="12" s="1"/>
  <c r="M271" i="12"/>
  <c r="M226" i="12"/>
  <c r="M1397" i="12"/>
  <c r="M325" i="12" l="1"/>
  <c r="M70" i="12" s="1"/>
  <c r="M1398" i="12"/>
  <c r="M1399" i="12" s="1"/>
  <c r="N1402" i="12"/>
  <c r="M1402" i="12" l="1"/>
  <c r="F416" i="12" l="1"/>
  <c r="F417" i="12"/>
  <c r="F418" i="12" l="1"/>
  <c r="F420" i="12" s="1"/>
  <c r="F179" i="12" s="1"/>
  <c r="F1018" i="12" l="1"/>
  <c r="F1017" i="12" s="1"/>
  <c r="F1021" i="12" s="1"/>
  <c r="F1022" i="12" s="1"/>
  <c r="F284" i="12" s="1"/>
  <c r="F326" i="12" s="1"/>
  <c r="F329" i="12" s="1"/>
  <c r="F180" i="12"/>
  <c r="F184" i="12" s="1"/>
  <c r="F191" i="12" l="1"/>
  <c r="F212" i="12" s="1"/>
  <c r="F286" i="12"/>
  <c r="G1020" i="12"/>
  <c r="F211" i="12"/>
  <c r="F228" i="12"/>
  <c r="F1145" i="12"/>
  <c r="F1140" i="12"/>
  <c r="F1136" i="12"/>
  <c r="F1143" i="12"/>
  <c r="F1139" i="12"/>
  <c r="F1135" i="12"/>
  <c r="F1142" i="12"/>
  <c r="F1138" i="12"/>
  <c r="F1134" i="12"/>
  <c r="F1141" i="12"/>
  <c r="F1137" i="12"/>
  <c r="F1133" i="12"/>
  <c r="F308" i="12"/>
  <c r="F330" i="12" s="1"/>
  <c r="F355" i="12" s="1"/>
  <c r="F292" i="12"/>
  <c r="F232" i="12" l="1"/>
  <c r="F231" i="12"/>
  <c r="F1154" i="12"/>
  <c r="F1149" i="12"/>
  <c r="F1152" i="12"/>
  <c r="F1148" i="12"/>
  <c r="F1156" i="12"/>
  <c r="F1153" i="12"/>
  <c r="F1158" i="12"/>
  <c r="F1151" i="12"/>
  <c r="F1155" i="12"/>
  <c r="F1150" i="12"/>
  <c r="F1157" i="12"/>
  <c r="F356" i="12"/>
  <c r="F293" i="12"/>
  <c r="F294" i="12" s="1"/>
  <c r="F229" i="12"/>
  <c r="G416" i="12"/>
  <c r="H416" i="12"/>
  <c r="I416" i="12"/>
  <c r="G417" i="12"/>
  <c r="H417" i="12"/>
  <c r="I417" i="12"/>
  <c r="F247" i="12" l="1"/>
  <c r="F1164" i="12"/>
  <c r="F1165" i="12" s="1"/>
  <c r="I418" i="12"/>
  <c r="I420" i="12" s="1"/>
  <c r="I179" i="12" s="1"/>
  <c r="G418" i="12"/>
  <c r="G420" i="12" s="1"/>
  <c r="G179" i="12" s="1"/>
  <c r="H418" i="12"/>
  <c r="H420" i="12" s="1"/>
  <c r="H179" i="12" s="1"/>
  <c r="G876" i="12" l="1"/>
  <c r="F252" i="12"/>
  <c r="F262" i="12" s="1"/>
  <c r="F233" i="12" s="1"/>
  <c r="I1018" i="12"/>
  <c r="I1017" i="12" s="1"/>
  <c r="I1021" i="12" s="1"/>
  <c r="H180" i="12"/>
  <c r="H184" i="12" s="1"/>
  <c r="G1018" i="12"/>
  <c r="G1017" i="12" s="1"/>
  <c r="G1021" i="12" s="1"/>
  <c r="G1022" i="12" s="1"/>
  <c r="H1020" i="12" s="1"/>
  <c r="I180" i="12"/>
  <c r="I184" i="12" s="1"/>
  <c r="H1018" i="12"/>
  <c r="H1017" i="12" s="1"/>
  <c r="H1021" i="12" s="1"/>
  <c r="G180" i="12"/>
  <c r="G184" i="12" s="1"/>
  <c r="F296" i="12" l="1"/>
  <c r="G191" i="12"/>
  <c r="I191" i="12"/>
  <c r="H191" i="12"/>
  <c r="G284" i="12"/>
  <c r="G326" i="12" s="1"/>
  <c r="G329" i="12" s="1"/>
  <c r="H1022" i="12"/>
  <c r="I1020" i="12" s="1"/>
  <c r="I1022" i="12" s="1"/>
  <c r="I284" i="12" s="1"/>
  <c r="I286" i="12" s="1"/>
  <c r="G228" i="12"/>
  <c r="H228" i="12"/>
  <c r="I228" i="12"/>
  <c r="H211" i="12"/>
  <c r="I1133" i="12"/>
  <c r="L1133" i="12" s="1"/>
  <c r="I211" i="12"/>
  <c r="G1138" i="12"/>
  <c r="G211" i="12"/>
  <c r="G1145" i="12"/>
  <c r="G1141" i="12"/>
  <c r="G1137" i="12"/>
  <c r="G1133" i="12"/>
  <c r="G1140" i="12"/>
  <c r="G1136" i="12"/>
  <c r="G1143" i="12"/>
  <c r="G1139" i="12"/>
  <c r="G1135" i="12"/>
  <c r="G1142" i="12"/>
  <c r="G1134" i="12"/>
  <c r="H1145" i="12"/>
  <c r="H1142" i="12"/>
  <c r="H1138" i="12"/>
  <c r="H1134" i="12"/>
  <c r="H1141" i="12"/>
  <c r="H1137" i="12"/>
  <c r="H1133" i="12"/>
  <c r="H1140" i="12"/>
  <c r="H1136" i="12"/>
  <c r="H1143" i="12"/>
  <c r="H1139" i="12"/>
  <c r="H1135" i="12"/>
  <c r="I1134" i="12"/>
  <c r="L1134" i="12" s="1"/>
  <c r="I1136" i="12"/>
  <c r="L1136" i="12" s="1"/>
  <c r="I1140" i="12"/>
  <c r="L1140" i="12" s="1"/>
  <c r="I1137" i="12"/>
  <c r="L1137" i="12" s="1"/>
  <c r="I1141" i="12"/>
  <c r="L1141" i="12" s="1"/>
  <c r="I1138" i="12"/>
  <c r="L1138" i="12" s="1"/>
  <c r="I1142" i="12"/>
  <c r="L1142" i="12" s="1"/>
  <c r="I1135" i="12"/>
  <c r="L1135" i="12" s="1"/>
  <c r="I1139" i="12"/>
  <c r="L1139" i="12" s="1"/>
  <c r="I1143" i="12"/>
  <c r="L1143" i="12" s="1"/>
  <c r="I1145" i="12"/>
  <c r="L1145" i="12" s="1"/>
  <c r="H308" i="12"/>
  <c r="I308" i="12"/>
  <c r="G308" i="12"/>
  <c r="G292" i="12"/>
  <c r="G330" i="12" l="1"/>
  <c r="G355" i="12" s="1"/>
  <c r="H284" i="12"/>
  <c r="H326" i="12" s="1"/>
  <c r="H329" i="12" s="1"/>
  <c r="H330" i="12" s="1"/>
  <c r="H355" i="12" s="1"/>
  <c r="G286" i="12"/>
  <c r="G232" i="12"/>
  <c r="G231" i="12"/>
  <c r="H1151" i="12"/>
  <c r="L1150" i="12"/>
  <c r="L1152" i="12"/>
  <c r="L1148" i="12"/>
  <c r="L1157" i="12"/>
  <c r="L1158" i="12"/>
  <c r="L1153" i="12"/>
  <c r="L1151" i="12"/>
  <c r="L1154" i="12"/>
  <c r="L1156" i="12"/>
  <c r="L1149" i="12"/>
  <c r="L1155" i="12"/>
  <c r="G212" i="12"/>
  <c r="H212" i="12"/>
  <c r="I212" i="12"/>
  <c r="H1156" i="12"/>
  <c r="G1150" i="12"/>
  <c r="G1155" i="12"/>
  <c r="G1156" i="12"/>
  <c r="H1150" i="12"/>
  <c r="H1155" i="12"/>
  <c r="G1149" i="12"/>
  <c r="G1154" i="12"/>
  <c r="H1149" i="12"/>
  <c r="H1148" i="12"/>
  <c r="G1153" i="12"/>
  <c r="G1158" i="12"/>
  <c r="H1152" i="12"/>
  <c r="H1157" i="12"/>
  <c r="G1157" i="12"/>
  <c r="G1148" i="12"/>
  <c r="G1152" i="12"/>
  <c r="G1151" i="12"/>
  <c r="I1151" i="12"/>
  <c r="H1153" i="12"/>
  <c r="H1154" i="12"/>
  <c r="I1149" i="12"/>
  <c r="H1158" i="12"/>
  <c r="I1150" i="12"/>
  <c r="I1148" i="12"/>
  <c r="I1157" i="12"/>
  <c r="I1158" i="12"/>
  <c r="I1154" i="12"/>
  <c r="I1153" i="12"/>
  <c r="I1156" i="12"/>
  <c r="I1152" i="12"/>
  <c r="I1155" i="12"/>
  <c r="I229" i="12"/>
  <c r="G229" i="12"/>
  <c r="H292" i="12"/>
  <c r="H231" i="12" s="1"/>
  <c r="G293" i="12"/>
  <c r="H229" i="12"/>
  <c r="G356" i="12" l="1"/>
  <c r="G247" i="12" s="1"/>
  <c r="H876" i="12" s="1"/>
  <c r="I326" i="12"/>
  <c r="I329" i="12" s="1"/>
  <c r="I330" i="12" s="1"/>
  <c r="I356" i="12" s="1"/>
  <c r="J284" i="12"/>
  <c r="J286" i="12" s="1"/>
  <c r="H286" i="12"/>
  <c r="G294" i="12"/>
  <c r="I292" i="12"/>
  <c r="H232" i="12"/>
  <c r="G1164" i="12"/>
  <c r="G1165" i="12" s="1"/>
  <c r="H1164" i="12"/>
  <c r="H1165" i="12" s="1"/>
  <c r="I1164" i="12"/>
  <c r="I1165" i="12" s="1"/>
  <c r="H356" i="12"/>
  <c r="H293" i="12"/>
  <c r="J292" i="12"/>
  <c r="G252" i="12" l="1"/>
  <c r="G262" i="12" s="1"/>
  <c r="G233" i="12" s="1"/>
  <c r="H247" i="12"/>
  <c r="I247" i="12" s="1"/>
  <c r="I252" i="12" s="1"/>
  <c r="I262" i="12" s="1"/>
  <c r="H294" i="12"/>
  <c r="I355" i="12"/>
  <c r="E1369" i="12"/>
  <c r="E1371" i="12" s="1"/>
  <c r="I232" i="12"/>
  <c r="I231" i="12"/>
  <c r="I293" i="12"/>
  <c r="I294" i="12" s="1"/>
  <c r="E1377" i="12"/>
  <c r="I1377" i="12" s="1"/>
  <c r="J1164" i="12"/>
  <c r="J293" i="12"/>
  <c r="J294" i="12" s="1"/>
  <c r="G296" i="12" l="1"/>
  <c r="H252" i="12"/>
  <c r="H262" i="12" s="1"/>
  <c r="H296" i="12" s="1"/>
  <c r="J247" i="12"/>
  <c r="L1251" i="12" s="1"/>
  <c r="I876" i="12"/>
  <c r="I296" i="12"/>
  <c r="I233" i="12"/>
  <c r="J1165" i="12"/>
  <c r="E1378" i="12"/>
  <c r="E1379" i="12" s="1"/>
  <c r="I1378" i="12"/>
  <c r="H233" i="12" l="1"/>
  <c r="J1251" i="12"/>
  <c r="P26" i="12"/>
  <c r="P27" i="12" s="1"/>
  <c r="P28" i="12" s="1"/>
  <c r="P33" i="12" s="1"/>
  <c r="K1251" i="12"/>
  <c r="J252" i="12"/>
  <c r="J262" i="12" s="1"/>
  <c r="J296" i="12" s="1"/>
  <c r="I1251" i="12"/>
  <c r="E1332" i="12"/>
  <c r="E1337" i="12" s="1"/>
  <c r="E1347" i="12" s="1"/>
  <c r="E1381" i="12" s="1"/>
  <c r="H1251" i="12"/>
  <c r="P34" i="12" l="1"/>
  <c r="P32" i="12"/>
  <c r="P37" i="12"/>
  <c r="P38" i="12"/>
  <c r="P36" i="12"/>
  <c r="V41" i="12"/>
  <c r="V42" i="12" s="1"/>
  <c r="H46" i="12" s="1"/>
  <c r="V45" i="12" s="1"/>
  <c r="I1332" i="12"/>
  <c r="I1337" i="12" s="1"/>
  <c r="M290" i="12"/>
  <c r="L976" i="12" l="1"/>
  <c r="O975" i="12" s="1"/>
  <c r="O981" i="12" s="1"/>
  <c r="O982" i="12" s="1"/>
  <c r="O157" i="12" s="1"/>
  <c r="O187" i="12" s="1"/>
  <c r="G1344" i="12"/>
  <c r="G46" i="12"/>
  <c r="J46" i="12"/>
  <c r="J51" i="12" s="1"/>
  <c r="V32" i="12" s="1"/>
  <c r="V34" i="12" s="1"/>
  <c r="I46" i="12"/>
  <c r="I51" i="12" s="1"/>
  <c r="V28" i="12" s="1"/>
  <c r="N290" i="12"/>
  <c r="I1344" i="12" l="1"/>
  <c r="I1347" i="12" s="1"/>
  <c r="M974" i="12"/>
  <c r="Q975" i="12"/>
  <c r="Q981" i="12" s="1"/>
  <c r="Q982" i="12" s="1"/>
  <c r="Q157" i="12" s="1"/>
  <c r="G1347" i="12"/>
  <c r="N975" i="12"/>
  <c r="N981" i="12" s="1"/>
  <c r="N982" i="12" s="1"/>
  <c r="N157" i="12" s="1"/>
  <c r="T975" i="12"/>
  <c r="T981" i="12" s="1"/>
  <c r="T982" i="12" s="1"/>
  <c r="T157" i="12" s="1"/>
  <c r="M975" i="12"/>
  <c r="M981" i="12" s="1"/>
  <c r="M982" i="12" s="1"/>
  <c r="M157" i="12" s="1"/>
  <c r="M187" i="12" s="1"/>
  <c r="V975" i="12"/>
  <c r="V981" i="12" s="1"/>
  <c r="V982" i="12" s="1"/>
  <c r="V157" i="12" s="1"/>
  <c r="R975" i="12"/>
  <c r="R981" i="12" s="1"/>
  <c r="R982" i="12" s="1"/>
  <c r="R157" i="12" s="1"/>
  <c r="R187" i="12" s="1"/>
  <c r="S975" i="12"/>
  <c r="S981" i="12" s="1"/>
  <c r="S982" i="12" s="1"/>
  <c r="S157" i="12" s="1"/>
  <c r="P975" i="12"/>
  <c r="P981" i="12" s="1"/>
  <c r="P982" i="12" s="1"/>
  <c r="P157" i="12" s="1"/>
  <c r="U975" i="12"/>
  <c r="U981" i="12" s="1"/>
  <c r="U982" i="12" s="1"/>
  <c r="U157" i="12" s="1"/>
  <c r="V30" i="12"/>
  <c r="V47" i="12" s="1"/>
  <c r="V46" i="12"/>
  <c r="O159" i="12"/>
  <c r="O217" i="12"/>
  <c r="O310" i="12"/>
  <c r="O1002" i="12"/>
  <c r="O290" i="12"/>
  <c r="S217" i="12" l="1"/>
  <c r="S187" i="12"/>
  <c r="U217" i="12"/>
  <c r="U187" i="12"/>
  <c r="V159" i="12"/>
  <c r="V187" i="12"/>
  <c r="P310" i="12"/>
  <c r="P187" i="12"/>
  <c r="Q159" i="12"/>
  <c r="Q187" i="12"/>
  <c r="T310" i="12"/>
  <c r="T187" i="12"/>
  <c r="N159" i="12"/>
  <c r="N187" i="12"/>
  <c r="M159" i="12"/>
  <c r="K1344" i="12"/>
  <c r="Q310" i="12"/>
  <c r="Q217" i="12"/>
  <c r="Q1002" i="12"/>
  <c r="H1369" i="12"/>
  <c r="N1002" i="12"/>
  <c r="M217" i="12"/>
  <c r="T1002" i="12"/>
  <c r="S1002" i="12"/>
  <c r="S159" i="12"/>
  <c r="T217" i="12"/>
  <c r="S310" i="12"/>
  <c r="R159" i="12"/>
  <c r="N310" i="12"/>
  <c r="T159" i="12"/>
  <c r="N217" i="12"/>
  <c r="U1002" i="12"/>
  <c r="P1002" i="12"/>
  <c r="U310" i="12"/>
  <c r="V1002" i="12"/>
  <c r="V217" i="12"/>
  <c r="U159" i="12"/>
  <c r="M310" i="12"/>
  <c r="P217" i="12"/>
  <c r="M976" i="12"/>
  <c r="N974" i="12" s="1"/>
  <c r="N976" i="12" s="1"/>
  <c r="O974" i="12" s="1"/>
  <c r="O976" i="12" s="1"/>
  <c r="P974" i="12" s="1"/>
  <c r="P976" i="12" s="1"/>
  <c r="Q974" i="12" s="1"/>
  <c r="Q976" i="12" s="1"/>
  <c r="R974" i="12" s="1"/>
  <c r="R976" i="12" s="1"/>
  <c r="S974" i="12" s="1"/>
  <c r="S976" i="12" s="1"/>
  <c r="T974" i="12" s="1"/>
  <c r="T976" i="12" s="1"/>
  <c r="U974" i="12" s="1"/>
  <c r="U976" i="12" s="1"/>
  <c r="V974" i="12" s="1"/>
  <c r="V976" i="12" s="1"/>
  <c r="P159" i="12"/>
  <c r="M1002" i="12"/>
  <c r="R310" i="12"/>
  <c r="R217" i="12"/>
  <c r="R1002" i="12"/>
  <c r="V310" i="12"/>
  <c r="V48" i="12"/>
  <c r="V49" i="12" s="1"/>
  <c r="V50" i="12" s="1"/>
  <c r="J1377" i="12" s="1"/>
  <c r="O227" i="12"/>
  <c r="P290" i="12"/>
  <c r="N227" i="12" l="1"/>
  <c r="Q227" i="12"/>
  <c r="V227" i="12"/>
  <c r="M227" i="12"/>
  <c r="R227" i="12"/>
  <c r="T227" i="12"/>
  <c r="P227" i="12"/>
  <c r="U227" i="12"/>
  <c r="S227" i="12"/>
  <c r="O1344" i="12"/>
  <c r="L259" i="12" s="1"/>
  <c r="H1371" i="12"/>
  <c r="H1379" i="12" s="1"/>
  <c r="I1369" i="12"/>
  <c r="V51" i="12"/>
  <c r="K1377" i="12"/>
  <c r="Q290" i="12"/>
  <c r="O1377" i="12" l="1"/>
  <c r="L292" i="12" s="1"/>
  <c r="K292" i="12" s="1"/>
  <c r="K259" i="12"/>
  <c r="M259" i="12"/>
  <c r="N259" i="12" s="1"/>
  <c r="O259" i="12" s="1"/>
  <c r="P259" i="12" s="1"/>
  <c r="Q259" i="12" s="1"/>
  <c r="R259" i="12" s="1"/>
  <c r="S259" i="12" s="1"/>
  <c r="T259" i="12" s="1"/>
  <c r="U259" i="12" s="1"/>
  <c r="V259" i="12" s="1"/>
  <c r="J1343" i="12"/>
  <c r="I1371" i="12"/>
  <c r="I1379" i="12" s="1"/>
  <c r="K1369" i="12"/>
  <c r="R290" i="12"/>
  <c r="G1287" i="12" l="1"/>
  <c r="M1251" i="12"/>
  <c r="K1343" i="12"/>
  <c r="K1371" i="12"/>
  <c r="S290" i="12"/>
  <c r="O1343" i="12" l="1"/>
  <c r="L258" i="12" s="1"/>
  <c r="D13" i="12"/>
  <c r="T290" i="12"/>
  <c r="M258" i="12" l="1"/>
  <c r="N258" i="12" s="1"/>
  <c r="O258" i="12" s="1"/>
  <c r="P258" i="12" s="1"/>
  <c r="Q258" i="12" s="1"/>
  <c r="K258" i="12"/>
  <c r="F13" i="12"/>
  <c r="U290" i="12"/>
  <c r="R258" i="12" l="1"/>
  <c r="V290" i="12"/>
  <c r="S258" i="12" l="1"/>
  <c r="T258" i="12" l="1"/>
  <c r="U258" i="12" l="1"/>
  <c r="V258" i="12" l="1"/>
  <c r="M571" i="12" l="1"/>
  <c r="I1479" i="12"/>
  <c r="M165" i="12" l="1"/>
  <c r="K1332" i="12" l="1"/>
  <c r="M579" i="12" l="1"/>
  <c r="J1337" i="12"/>
  <c r="J1347" i="12" s="1"/>
  <c r="J1378" i="12"/>
  <c r="J1379" i="12" s="1"/>
  <c r="K1337" i="12"/>
  <c r="K1347" i="12" s="1"/>
  <c r="K1378" i="12" l="1"/>
  <c r="K1379" i="12" s="1"/>
  <c r="K1381" i="12" s="1"/>
  <c r="L1620" i="12" l="1"/>
  <c r="M1254" i="12" l="1"/>
  <c r="L545" i="12" s="1"/>
  <c r="L554" i="12" s="1"/>
  <c r="N1360" i="12" s="1"/>
  <c r="H1266" i="12"/>
  <c r="H1275" i="12"/>
  <c r="M1275" i="12" s="1"/>
  <c r="D34" i="12" s="1"/>
  <c r="H1277" i="12"/>
  <c r="M1277" i="12" s="1"/>
  <c r="D36" i="12" s="1"/>
  <c r="L560" i="12" l="1"/>
  <c r="F34" i="12"/>
  <c r="D16" i="12"/>
  <c r="L1302" i="12"/>
  <c r="L1312" i="12" s="1"/>
  <c r="K1302" i="12"/>
  <c r="F36" i="12"/>
  <c r="L1108" i="12" l="1"/>
  <c r="L1121" i="12" s="1"/>
  <c r="L1164" i="12" s="1"/>
  <c r="M557" i="12"/>
  <c r="M558" i="12" s="1"/>
  <c r="M548" i="12"/>
  <c r="M541" i="12"/>
  <c r="M563" i="12" s="1"/>
  <c r="K905" i="12"/>
  <c r="M905" i="12" s="1"/>
  <c r="M915" i="12" s="1"/>
  <c r="M173" i="12" s="1"/>
  <c r="K1312" i="12"/>
  <c r="F16" i="12"/>
  <c r="M564" i="12" l="1"/>
  <c r="M565" i="12" s="1"/>
  <c r="M880" i="12" s="1"/>
  <c r="M549" i="12"/>
  <c r="M543" i="12"/>
  <c r="M465" i="12" s="1"/>
  <c r="M189" i="12"/>
  <c r="M608" i="12"/>
  <c r="M311" i="12"/>
  <c r="N1369" i="12"/>
  <c r="O1369" i="12" s="1"/>
  <c r="L284" i="12" s="1"/>
  <c r="N1342" i="12"/>
  <c r="N905" i="12"/>
  <c r="M551" i="12" l="1"/>
  <c r="O1360" i="12"/>
  <c r="N1368" i="12"/>
  <c r="N1371" i="12" s="1"/>
  <c r="N915" i="12"/>
  <c r="N173" i="12" s="1"/>
  <c r="O905" i="12"/>
  <c r="O1342" i="12"/>
  <c r="K284" i="12"/>
  <c r="L1022" i="12"/>
  <c r="M1020" i="12" s="1"/>
  <c r="M542" i="12" l="1"/>
  <c r="M164" i="12"/>
  <c r="N189" i="12"/>
  <c r="N311" i="12"/>
  <c r="L275" i="12"/>
  <c r="O1368" i="12"/>
  <c r="O1371" i="12" s="1"/>
  <c r="L257" i="12"/>
  <c r="O915" i="12"/>
  <c r="O173" i="12" s="1"/>
  <c r="P905" i="12"/>
  <c r="O189" i="12" l="1"/>
  <c r="M550" i="12"/>
  <c r="O311" i="12"/>
  <c r="P915" i="12"/>
  <c r="P173" i="12" s="1"/>
  <c r="K257" i="12"/>
  <c r="M257" i="12"/>
  <c r="Q905" i="12"/>
  <c r="Q915" i="12" s="1"/>
  <c r="Q173" i="12" s="1"/>
  <c r="L74" i="12"/>
  <c r="L283" i="12"/>
  <c r="L286" i="12" s="1"/>
  <c r="K275" i="12"/>
  <c r="K283" i="12" s="1"/>
  <c r="K286" i="12" s="1"/>
  <c r="I1478" i="12"/>
  <c r="P189" i="12" l="1"/>
  <c r="Q189" i="12"/>
  <c r="R905" i="12"/>
  <c r="R915" i="12" s="1"/>
  <c r="R173" i="12" s="1"/>
  <c r="L79" i="12"/>
  <c r="L95" i="12"/>
  <c r="N257" i="12"/>
  <c r="P311" i="12"/>
  <c r="Q311" i="12"/>
  <c r="R189" i="12" l="1"/>
  <c r="R311" i="12"/>
  <c r="S905" i="12"/>
  <c r="S915" i="12" s="1"/>
  <c r="S173" i="12" s="1"/>
  <c r="O257" i="12"/>
  <c r="L97" i="12"/>
  <c r="L94" i="12"/>
  <c r="S189" i="12" l="1"/>
  <c r="S311" i="12"/>
  <c r="T905" i="12"/>
  <c r="T915" i="12" s="1"/>
  <c r="T173" i="12" s="1"/>
  <c r="P257" i="12"/>
  <c r="T189" i="12" l="1"/>
  <c r="U905" i="12"/>
  <c r="U915" i="12" s="1"/>
  <c r="U173" i="12" s="1"/>
  <c r="T311" i="12"/>
  <c r="Q257" i="12"/>
  <c r="U189" i="12" l="1"/>
  <c r="V905" i="12"/>
  <c r="V915" i="12" s="1"/>
  <c r="V173" i="12" s="1"/>
  <c r="U311" i="12"/>
  <c r="R257" i="12"/>
  <c r="V189" i="12" l="1"/>
  <c r="V311" i="12"/>
  <c r="S257" i="12"/>
  <c r="T257" i="12" l="1"/>
  <c r="U257" i="12" l="1"/>
  <c r="V257" i="12" l="1"/>
  <c r="I1266" i="12"/>
  <c r="I1275" i="12"/>
  <c r="I1277" i="12"/>
  <c r="M1274" i="12" l="1"/>
  <c r="D33" i="12" s="1"/>
  <c r="F33" i="12" s="1"/>
  <c r="M194" i="12" l="1"/>
  <c r="N194" i="12"/>
  <c r="O194" i="12"/>
  <c r="P194" i="12"/>
  <c r="Q194" i="12"/>
  <c r="R194" i="12"/>
  <c r="S194" i="12"/>
  <c r="T194" i="12"/>
  <c r="U194" i="12"/>
  <c r="V194" i="12"/>
  <c r="M196" i="12"/>
  <c r="N196" i="12"/>
  <c r="O196" i="12"/>
  <c r="P196" i="12"/>
  <c r="Q196" i="12"/>
  <c r="M197" i="12"/>
  <c r="N197" i="12"/>
  <c r="O197" i="12"/>
  <c r="P197" i="12"/>
  <c r="Q197" i="12"/>
  <c r="M200" i="12"/>
  <c r="N200" i="12"/>
  <c r="O200" i="12"/>
  <c r="P200" i="12"/>
  <c r="Q200" i="12"/>
  <c r="R200" i="12"/>
  <c r="S200" i="12"/>
  <c r="T200" i="12"/>
  <c r="U200" i="12"/>
  <c r="V200" i="12"/>
  <c r="M202" i="12"/>
  <c r="N202" i="12"/>
  <c r="O202" i="12"/>
  <c r="P202" i="12"/>
  <c r="Q202" i="12"/>
  <c r="M203" i="12"/>
  <c r="N203" i="12"/>
  <c r="O203" i="12"/>
  <c r="P203" i="12"/>
  <c r="Q203" i="12"/>
  <c r="L1273" i="12"/>
  <c r="M1273" i="12" s="1"/>
  <c r="L1276" i="12"/>
  <c r="M1276" i="12" l="1"/>
  <c r="M1285" i="12" s="1"/>
  <c r="L1267" i="12"/>
  <c r="M1267" i="12" s="1"/>
  <c r="D28" i="12" s="1"/>
  <c r="L1285" i="12"/>
  <c r="D32" i="12"/>
  <c r="M789" i="12" l="1"/>
  <c r="M790" i="12" s="1"/>
  <c r="M796" i="12" s="1"/>
  <c r="F28" i="12"/>
  <c r="M1332" i="12"/>
  <c r="D35" i="12"/>
  <c r="D38" i="12" s="1"/>
  <c r="F32" i="12"/>
  <c r="L1264" i="12"/>
  <c r="M773" i="12" l="1"/>
  <c r="M795" i="12" s="1"/>
  <c r="M781" i="12"/>
  <c r="M1264" i="12"/>
  <c r="L1266" i="12"/>
  <c r="L1268" i="12" s="1"/>
  <c r="L1287" i="12" s="1"/>
  <c r="F35" i="12"/>
  <c r="F38" i="12" s="1"/>
  <c r="M1337" i="12"/>
  <c r="M1347" i="12" s="1"/>
  <c r="M1381" i="12" s="1"/>
  <c r="M797" i="12" l="1"/>
  <c r="M888" i="12" s="1"/>
  <c r="M774" i="12" s="1"/>
  <c r="M1586" i="12" s="1"/>
  <c r="M775" i="12"/>
  <c r="M473" i="12" s="1"/>
  <c r="M475" i="12" s="1"/>
  <c r="E1500" i="12"/>
  <c r="E1514" i="12" s="1"/>
  <c r="N1376" i="12"/>
  <c r="M1266" i="12"/>
  <c r="D26" i="12"/>
  <c r="L1609" i="12"/>
  <c r="L1611" i="12" s="1"/>
  <c r="E34" i="12"/>
  <c r="E31" i="12"/>
  <c r="E33" i="12"/>
  <c r="E36" i="12"/>
  <c r="E37" i="12"/>
  <c r="E32" i="12"/>
  <c r="E35" i="12"/>
  <c r="M181" i="12" l="1"/>
  <c r="M322" i="12"/>
  <c r="N1378" i="12"/>
  <c r="N1379" i="12" s="1"/>
  <c r="O1376" i="12"/>
  <c r="F1500" i="12"/>
  <c r="F1507" i="12"/>
  <c r="F1509" i="12"/>
  <c r="F1513" i="12"/>
  <c r="F1511" i="12"/>
  <c r="F1501" i="12"/>
  <c r="G1501" i="12" s="1"/>
  <c r="H1501" i="12" s="1"/>
  <c r="F1512" i="12"/>
  <c r="F1508" i="12"/>
  <c r="F1506" i="12"/>
  <c r="F1505" i="12"/>
  <c r="F1503" i="12"/>
  <c r="F1510" i="12"/>
  <c r="F1504" i="12"/>
  <c r="K1162" i="12"/>
  <c r="F26" i="12"/>
  <c r="F29" i="12" s="1"/>
  <c r="D29" i="12"/>
  <c r="E38" i="12"/>
  <c r="N1332" i="12"/>
  <c r="M1268" i="12"/>
  <c r="M1287" i="12" s="1"/>
  <c r="K1165" i="12" l="1"/>
  <c r="L1162" i="12"/>
  <c r="E27" i="12"/>
  <c r="E24" i="12"/>
  <c r="E14" i="12"/>
  <c r="E15" i="12"/>
  <c r="E17" i="12"/>
  <c r="E13" i="12"/>
  <c r="E20" i="12"/>
  <c r="E18" i="12"/>
  <c r="E19" i="12"/>
  <c r="E25" i="12"/>
  <c r="E16" i="12"/>
  <c r="E22" i="12"/>
  <c r="E23" i="12"/>
  <c r="E21" i="12"/>
  <c r="E28" i="12"/>
  <c r="G1500" i="12"/>
  <c r="F1514" i="12"/>
  <c r="E26" i="12"/>
  <c r="N1337" i="12"/>
  <c r="N1347" i="12" s="1"/>
  <c r="N1381" i="12" s="1"/>
  <c r="O1332" i="12"/>
  <c r="O1378" i="12"/>
  <c r="O1379" i="12" s="1"/>
  <c r="L291" i="12"/>
  <c r="M760" i="12" l="1"/>
  <c r="M761" i="12" s="1"/>
  <c r="M751" i="12"/>
  <c r="M1162" i="12"/>
  <c r="L1165" i="12"/>
  <c r="I1488" i="12"/>
  <c r="K1471" i="12" s="1"/>
  <c r="K1472" i="12" s="1"/>
  <c r="K1488" i="12" s="1"/>
  <c r="K1489" i="12" s="1"/>
  <c r="M291" i="12"/>
  <c r="L293" i="12"/>
  <c r="L294" i="12" s="1"/>
  <c r="K291" i="12"/>
  <c r="K293" i="12" s="1"/>
  <c r="K294" i="12" s="1"/>
  <c r="E29" i="12"/>
  <c r="L247" i="12"/>
  <c r="O1337" i="12"/>
  <c r="O1347" i="12" s="1"/>
  <c r="O1381" i="12" s="1"/>
  <c r="H1500" i="12"/>
  <c r="H1514" i="12" s="1"/>
  <c r="G1514" i="12"/>
  <c r="M767" i="12" l="1"/>
  <c r="M768" i="12" s="1"/>
  <c r="M887" i="12" s="1"/>
  <c r="M831" i="12"/>
  <c r="M460" i="12"/>
  <c r="M462" i="12" s="1"/>
  <c r="M876" i="12"/>
  <c r="M161" i="12" s="1"/>
  <c r="M745" i="12"/>
  <c r="M321" i="12" s="1"/>
  <c r="M752" i="12"/>
  <c r="N1162" i="12"/>
  <c r="M352" i="12"/>
  <c r="K247" i="12"/>
  <c r="K252" i="12" s="1"/>
  <c r="K262" i="12" s="1"/>
  <c r="K296" i="12" s="1"/>
  <c r="L252" i="12"/>
  <c r="L126" i="12"/>
  <c r="L80" i="12"/>
  <c r="L81" i="12" s="1"/>
  <c r="L96" i="12" s="1"/>
  <c r="N291" i="12"/>
  <c r="M171" i="12" l="1"/>
  <c r="M894" i="12"/>
  <c r="M87" i="12" s="1"/>
  <c r="M783" i="12"/>
  <c r="M725" i="12"/>
  <c r="L262" i="12"/>
  <c r="L125" i="12"/>
  <c r="O1162" i="12"/>
  <c r="N352" i="12"/>
  <c r="O291" i="12"/>
  <c r="M753" i="12" l="1"/>
  <c r="M782" i="12"/>
  <c r="O352" i="12"/>
  <c r="P1162" i="12"/>
  <c r="P291" i="12"/>
  <c r="L296" i="12"/>
  <c r="Q291" i="12" l="1"/>
  <c r="Q1162" i="12"/>
  <c r="P352" i="12"/>
  <c r="R291" i="12" l="1"/>
  <c r="Q352" i="12"/>
  <c r="R1162" i="12"/>
  <c r="S291" i="12" l="1"/>
  <c r="R352" i="12"/>
  <c r="S1162" i="12"/>
  <c r="T291" i="12" l="1"/>
  <c r="T1162" i="12"/>
  <c r="S352" i="12"/>
  <c r="U1162" i="12" l="1"/>
  <c r="T352" i="12"/>
  <c r="U291" i="12"/>
  <c r="V291" i="12" l="1"/>
  <c r="U352" i="12"/>
  <c r="V1162" i="12"/>
  <c r="V352" i="12" l="1"/>
  <c r="M666" i="12" l="1"/>
  <c r="M724" i="12" l="1"/>
  <c r="M811" i="12" l="1"/>
  <c r="M812" i="12"/>
  <c r="M315" i="12"/>
  <c r="N520" i="12"/>
  <c r="O520" i="12"/>
  <c r="P520" i="12"/>
  <c r="Q520" i="12"/>
  <c r="R520" i="12"/>
  <c r="S520" i="12"/>
  <c r="T520" i="12"/>
  <c r="U520" i="12"/>
  <c r="V520" i="12"/>
  <c r="N521" i="12" l="1"/>
  <c r="O521" i="12"/>
  <c r="P521" i="12"/>
  <c r="Q521" i="12"/>
  <c r="R521" i="12"/>
  <c r="S521" i="12"/>
  <c r="T521" i="12"/>
  <c r="U521" i="12"/>
  <c r="V521" i="12"/>
  <c r="M536" i="12" l="1"/>
  <c r="M878" i="12" s="1"/>
  <c r="M162" i="12" l="1"/>
  <c r="M172" i="12" s="1"/>
  <c r="M891" i="12"/>
  <c r="M85" i="12" s="1"/>
  <c r="M893" i="12"/>
  <c r="M892" i="12"/>
  <c r="M109" i="12" l="1"/>
  <c r="M105" i="12"/>
  <c r="M101" i="12"/>
  <c r="M1004" i="12"/>
  <c r="M86" i="12"/>
  <c r="M88" i="12" s="1"/>
  <c r="M90" i="12"/>
  <c r="M107" i="12" l="1"/>
  <c r="M111" i="12"/>
  <c r="M103" i="12"/>
  <c r="M102" i="12"/>
  <c r="M110" i="12"/>
  <c r="M106" i="12"/>
  <c r="P53" i="12"/>
  <c r="P54" i="12"/>
  <c r="P55" i="12"/>
  <c r="P56" i="12"/>
  <c r="V61" i="12"/>
  <c r="M74" i="12"/>
  <c r="N74" i="12"/>
  <c r="O74" i="12"/>
  <c r="P74" i="12"/>
  <c r="Q74" i="12"/>
  <c r="R74" i="12"/>
  <c r="S74" i="12"/>
  <c r="T74" i="12"/>
  <c r="U74" i="12"/>
  <c r="V74" i="12"/>
  <c r="M75" i="12"/>
  <c r="N75" i="12"/>
  <c r="O75" i="12"/>
  <c r="P75" i="12"/>
  <c r="Q75" i="12"/>
  <c r="R75" i="12"/>
  <c r="S75" i="12"/>
  <c r="T75" i="12"/>
  <c r="U75" i="12"/>
  <c r="V75" i="12"/>
  <c r="M76" i="12"/>
  <c r="N76" i="12"/>
  <c r="O76" i="12"/>
  <c r="P76" i="12"/>
  <c r="Q76" i="12"/>
  <c r="R76" i="12"/>
  <c r="S76" i="12"/>
  <c r="T76" i="12"/>
  <c r="U76" i="12"/>
  <c r="V76" i="12"/>
  <c r="M79" i="12"/>
  <c r="N79" i="12"/>
  <c r="O79" i="12"/>
  <c r="P79" i="12"/>
  <c r="Q79" i="12"/>
  <c r="R79" i="12"/>
  <c r="S79" i="12"/>
  <c r="T79" i="12"/>
  <c r="U79" i="12"/>
  <c r="V79" i="12"/>
  <c r="M80" i="12"/>
  <c r="N80" i="12"/>
  <c r="O80" i="12"/>
  <c r="P80" i="12"/>
  <c r="Q80" i="12"/>
  <c r="R80" i="12"/>
  <c r="S80" i="12"/>
  <c r="T80" i="12"/>
  <c r="U80" i="12"/>
  <c r="V80" i="12"/>
  <c r="M81" i="12"/>
  <c r="N81" i="12"/>
  <c r="O81" i="12"/>
  <c r="P81" i="12"/>
  <c r="Q81" i="12"/>
  <c r="R81" i="12"/>
  <c r="S81" i="12"/>
  <c r="T81" i="12"/>
  <c r="U81" i="12"/>
  <c r="V81" i="12"/>
  <c r="N85" i="12"/>
  <c r="O85" i="12"/>
  <c r="P85" i="12"/>
  <c r="Q85" i="12"/>
  <c r="R85" i="12"/>
  <c r="S85" i="12"/>
  <c r="T85" i="12"/>
  <c r="U85" i="12"/>
  <c r="V85" i="12"/>
  <c r="N86" i="12"/>
  <c r="O86" i="12"/>
  <c r="P86" i="12"/>
  <c r="Q86" i="12"/>
  <c r="R86" i="12"/>
  <c r="S86" i="12"/>
  <c r="T86" i="12"/>
  <c r="U86" i="12"/>
  <c r="V86" i="12"/>
  <c r="N87" i="12"/>
  <c r="O87" i="12"/>
  <c r="P87" i="12"/>
  <c r="Q87" i="12"/>
  <c r="R87" i="12"/>
  <c r="S87" i="12"/>
  <c r="T87" i="12"/>
  <c r="U87" i="12"/>
  <c r="V87" i="12"/>
  <c r="N88" i="12"/>
  <c r="O88" i="12"/>
  <c r="P88" i="12"/>
  <c r="Q88" i="12"/>
  <c r="R88" i="12"/>
  <c r="S88" i="12"/>
  <c r="T88" i="12"/>
  <c r="U88" i="12"/>
  <c r="V88" i="12"/>
  <c r="N90" i="12"/>
  <c r="O90" i="12"/>
  <c r="P90" i="12"/>
  <c r="Q90" i="12"/>
  <c r="R90" i="12"/>
  <c r="S90" i="12"/>
  <c r="T90" i="12"/>
  <c r="U90" i="12"/>
  <c r="V90" i="12"/>
  <c r="M94" i="12"/>
  <c r="N94" i="12"/>
  <c r="O94" i="12"/>
  <c r="P94" i="12"/>
  <c r="Q94" i="12"/>
  <c r="R94" i="12"/>
  <c r="S94" i="12"/>
  <c r="T94" i="12"/>
  <c r="U94" i="12"/>
  <c r="V94" i="12"/>
  <c r="M95" i="12"/>
  <c r="N95" i="12"/>
  <c r="O95" i="12"/>
  <c r="P95" i="12"/>
  <c r="Q95" i="12"/>
  <c r="R95" i="12"/>
  <c r="S95" i="12"/>
  <c r="T95" i="12"/>
  <c r="U95" i="12"/>
  <c r="V95" i="12"/>
  <c r="M96" i="12"/>
  <c r="N96" i="12"/>
  <c r="O96" i="12"/>
  <c r="P96" i="12"/>
  <c r="Q96" i="12"/>
  <c r="R96" i="12"/>
  <c r="S96" i="12"/>
  <c r="T96" i="12"/>
  <c r="U96" i="12"/>
  <c r="V96" i="12"/>
  <c r="M97" i="12"/>
  <c r="N97" i="12"/>
  <c r="O97" i="12"/>
  <c r="P97" i="12"/>
  <c r="Q97" i="12"/>
  <c r="R97" i="12"/>
  <c r="S97" i="12"/>
  <c r="T97" i="12"/>
  <c r="U97" i="12"/>
  <c r="V97" i="12"/>
  <c r="N101" i="12"/>
  <c r="O101" i="12"/>
  <c r="P101" i="12"/>
  <c r="Q101" i="12"/>
  <c r="R101" i="12"/>
  <c r="S101" i="12"/>
  <c r="T101" i="12"/>
  <c r="U101" i="12"/>
  <c r="V101" i="12"/>
  <c r="N102" i="12"/>
  <c r="O102" i="12"/>
  <c r="P102" i="12"/>
  <c r="Q102" i="12"/>
  <c r="R102" i="12"/>
  <c r="S102" i="12"/>
  <c r="T102" i="12"/>
  <c r="U102" i="12"/>
  <c r="V102" i="12"/>
  <c r="N103" i="12"/>
  <c r="O103" i="12"/>
  <c r="P103" i="12"/>
  <c r="Q103" i="12"/>
  <c r="R103" i="12"/>
  <c r="S103" i="12"/>
  <c r="T103" i="12"/>
  <c r="U103" i="12"/>
  <c r="V103" i="12"/>
  <c r="N105" i="12"/>
  <c r="O105" i="12"/>
  <c r="P105" i="12"/>
  <c r="Q105" i="12"/>
  <c r="R105" i="12"/>
  <c r="S105" i="12"/>
  <c r="T105" i="12"/>
  <c r="U105" i="12"/>
  <c r="V105" i="12"/>
  <c r="N106" i="12"/>
  <c r="O106" i="12"/>
  <c r="P106" i="12"/>
  <c r="Q106" i="12"/>
  <c r="R106" i="12"/>
  <c r="S106" i="12"/>
  <c r="T106" i="12"/>
  <c r="U106" i="12"/>
  <c r="V106" i="12"/>
  <c r="N107" i="12"/>
  <c r="O107" i="12"/>
  <c r="P107" i="12"/>
  <c r="Q107" i="12"/>
  <c r="R107" i="12"/>
  <c r="S107" i="12"/>
  <c r="T107" i="12"/>
  <c r="U107" i="12"/>
  <c r="V107" i="12"/>
  <c r="N109" i="12"/>
  <c r="O109" i="12"/>
  <c r="P109" i="12"/>
  <c r="Q109" i="12"/>
  <c r="R109" i="12"/>
  <c r="S109" i="12"/>
  <c r="T109" i="12"/>
  <c r="U109" i="12"/>
  <c r="V109" i="12"/>
  <c r="N110" i="12"/>
  <c r="O110" i="12"/>
  <c r="P110" i="12"/>
  <c r="Q110" i="12"/>
  <c r="R110" i="12"/>
  <c r="S110" i="12"/>
  <c r="T110" i="12"/>
  <c r="U110" i="12"/>
  <c r="V110" i="12"/>
  <c r="N111" i="12"/>
  <c r="O111" i="12"/>
  <c r="P111" i="12"/>
  <c r="Q111" i="12"/>
  <c r="R111" i="12"/>
  <c r="S111" i="12"/>
  <c r="T111" i="12"/>
  <c r="U111" i="12"/>
  <c r="V111" i="12"/>
  <c r="M116" i="12"/>
  <c r="N116" i="12"/>
  <c r="O116" i="12"/>
  <c r="P116" i="12"/>
  <c r="Q116" i="12"/>
  <c r="R116" i="12"/>
  <c r="S116" i="12"/>
  <c r="T116" i="12"/>
  <c r="U116" i="12"/>
  <c r="V116" i="12"/>
  <c r="M117" i="12"/>
  <c r="N117" i="12"/>
  <c r="O117" i="12"/>
  <c r="P117" i="12"/>
  <c r="Q117" i="12"/>
  <c r="R117" i="12"/>
  <c r="S117" i="12"/>
  <c r="T117" i="12"/>
  <c r="U117" i="12"/>
  <c r="V117" i="12"/>
  <c r="M120" i="12"/>
  <c r="N120" i="12"/>
  <c r="O120" i="12"/>
  <c r="P120" i="12"/>
  <c r="Q120" i="12"/>
  <c r="R120" i="12"/>
  <c r="S120" i="12"/>
  <c r="T120" i="12"/>
  <c r="U120" i="12"/>
  <c r="V120" i="12"/>
  <c r="M121" i="12"/>
  <c r="N121" i="12"/>
  <c r="O121" i="12"/>
  <c r="P121" i="12"/>
  <c r="Q121" i="12"/>
  <c r="R121" i="12"/>
  <c r="S121" i="12"/>
  <c r="T121" i="12"/>
  <c r="U121" i="12"/>
  <c r="V121" i="12"/>
  <c r="M122" i="12"/>
  <c r="N122" i="12"/>
  <c r="O122" i="12"/>
  <c r="P122" i="12"/>
  <c r="Q122" i="12"/>
  <c r="R122" i="12"/>
  <c r="S122" i="12"/>
  <c r="T122" i="12"/>
  <c r="U122" i="12"/>
  <c r="V122" i="12"/>
  <c r="M125" i="12"/>
  <c r="N125" i="12"/>
  <c r="O125" i="12"/>
  <c r="P125" i="12"/>
  <c r="Q125" i="12"/>
  <c r="R125" i="12"/>
  <c r="S125" i="12"/>
  <c r="T125" i="12"/>
  <c r="U125" i="12"/>
  <c r="V125" i="12"/>
  <c r="M126" i="12"/>
  <c r="N126" i="12"/>
  <c r="O126" i="12"/>
  <c r="P126" i="12"/>
  <c r="Q126" i="12"/>
  <c r="R126" i="12"/>
  <c r="S126" i="12"/>
  <c r="T126" i="12"/>
  <c r="U126" i="12"/>
  <c r="V126" i="12"/>
  <c r="M129" i="12"/>
  <c r="N129" i="12"/>
  <c r="O129" i="12"/>
  <c r="P129" i="12"/>
  <c r="Q129" i="12"/>
  <c r="R129" i="12"/>
  <c r="S129" i="12"/>
  <c r="T129" i="12"/>
  <c r="U129" i="12"/>
  <c r="V129" i="12"/>
  <c r="V143" i="12"/>
  <c r="N161" i="12"/>
  <c r="O161" i="12"/>
  <c r="P161" i="12"/>
  <c r="Q161" i="12"/>
  <c r="R161" i="12"/>
  <c r="S161" i="12"/>
  <c r="T161" i="12"/>
  <c r="U161" i="12"/>
  <c r="V161" i="12"/>
  <c r="N162" i="12"/>
  <c r="O162" i="12"/>
  <c r="P162" i="12"/>
  <c r="Q162" i="12"/>
  <c r="R162" i="12"/>
  <c r="S162" i="12"/>
  <c r="T162" i="12"/>
  <c r="U162" i="12"/>
  <c r="V162" i="12"/>
  <c r="N163" i="12"/>
  <c r="O163" i="12"/>
  <c r="P163" i="12"/>
  <c r="Q163" i="12"/>
  <c r="R163" i="12"/>
  <c r="S163" i="12"/>
  <c r="T163" i="12"/>
  <c r="U163" i="12"/>
  <c r="V163" i="12"/>
  <c r="N164" i="12"/>
  <c r="O164" i="12"/>
  <c r="P164" i="12"/>
  <c r="Q164" i="12"/>
  <c r="R164" i="12"/>
  <c r="S164" i="12"/>
  <c r="T164" i="12"/>
  <c r="U164" i="12"/>
  <c r="V164" i="12"/>
  <c r="N165" i="12"/>
  <c r="O165" i="12"/>
  <c r="P165" i="12"/>
  <c r="Q165" i="12"/>
  <c r="R165" i="12"/>
  <c r="S165" i="12"/>
  <c r="T165" i="12"/>
  <c r="U165" i="12"/>
  <c r="V165" i="12"/>
  <c r="N166" i="12"/>
  <c r="O166" i="12"/>
  <c r="P166" i="12"/>
  <c r="Q166" i="12"/>
  <c r="R166" i="12"/>
  <c r="S166" i="12"/>
  <c r="T166" i="12"/>
  <c r="U166" i="12"/>
  <c r="V166" i="12"/>
  <c r="N167" i="12"/>
  <c r="O167" i="12"/>
  <c r="P167" i="12"/>
  <c r="Q167" i="12"/>
  <c r="R167" i="12"/>
  <c r="S167" i="12"/>
  <c r="T167" i="12"/>
  <c r="U167" i="12"/>
  <c r="V167" i="12"/>
  <c r="N168" i="12"/>
  <c r="O168" i="12"/>
  <c r="P168" i="12"/>
  <c r="Q168" i="12"/>
  <c r="R168" i="12"/>
  <c r="S168" i="12"/>
  <c r="T168" i="12"/>
  <c r="U168" i="12"/>
  <c r="V168" i="12"/>
  <c r="N169" i="12"/>
  <c r="O169" i="12"/>
  <c r="P169" i="12"/>
  <c r="Q169" i="12"/>
  <c r="R169" i="12"/>
  <c r="S169" i="12"/>
  <c r="T169" i="12"/>
  <c r="U169" i="12"/>
  <c r="V169" i="12"/>
  <c r="N170" i="12"/>
  <c r="O170" i="12"/>
  <c r="P170" i="12"/>
  <c r="Q170" i="12"/>
  <c r="R170" i="12"/>
  <c r="S170" i="12"/>
  <c r="T170" i="12"/>
  <c r="U170" i="12"/>
  <c r="V170" i="12"/>
  <c r="N171" i="12"/>
  <c r="O171" i="12"/>
  <c r="P171" i="12"/>
  <c r="Q171" i="12"/>
  <c r="R171" i="12"/>
  <c r="S171" i="12"/>
  <c r="T171" i="12"/>
  <c r="U171" i="12"/>
  <c r="V171" i="12"/>
  <c r="N172" i="12"/>
  <c r="O172" i="12"/>
  <c r="P172" i="12"/>
  <c r="Q172" i="12"/>
  <c r="R172" i="12"/>
  <c r="S172" i="12"/>
  <c r="T172" i="12"/>
  <c r="U172" i="12"/>
  <c r="V172" i="12"/>
  <c r="M174" i="12"/>
  <c r="N174" i="12"/>
  <c r="O174" i="12"/>
  <c r="P174" i="12"/>
  <c r="Q174" i="12"/>
  <c r="R174" i="12"/>
  <c r="S174" i="12"/>
  <c r="T174" i="12"/>
  <c r="U174" i="12"/>
  <c r="V174" i="12"/>
  <c r="M178" i="12"/>
  <c r="N178" i="12"/>
  <c r="O178" i="12"/>
  <c r="P178" i="12"/>
  <c r="Q178" i="12"/>
  <c r="R178" i="12"/>
  <c r="S178" i="12"/>
  <c r="T178" i="12"/>
  <c r="U178" i="12"/>
  <c r="V178" i="12"/>
  <c r="M179" i="12"/>
  <c r="N179" i="12"/>
  <c r="O179" i="12"/>
  <c r="P179" i="12"/>
  <c r="Q179" i="12"/>
  <c r="R179" i="12"/>
  <c r="S179" i="12"/>
  <c r="T179" i="12"/>
  <c r="U179" i="12"/>
  <c r="V179" i="12"/>
  <c r="M180" i="12"/>
  <c r="N180" i="12"/>
  <c r="O180" i="12"/>
  <c r="P180" i="12"/>
  <c r="Q180" i="12"/>
  <c r="R180" i="12"/>
  <c r="S180" i="12"/>
  <c r="T180" i="12"/>
  <c r="U180" i="12"/>
  <c r="V180" i="12"/>
  <c r="N181" i="12"/>
  <c r="O181" i="12"/>
  <c r="P181" i="12"/>
  <c r="Q181" i="12"/>
  <c r="R181" i="12"/>
  <c r="S181" i="12"/>
  <c r="T181" i="12"/>
  <c r="U181" i="12"/>
  <c r="V181" i="12"/>
  <c r="N182" i="12"/>
  <c r="O182" i="12"/>
  <c r="P182" i="12"/>
  <c r="Q182" i="12"/>
  <c r="R182" i="12"/>
  <c r="S182" i="12"/>
  <c r="T182" i="12"/>
  <c r="U182" i="12"/>
  <c r="V182" i="12"/>
  <c r="M184" i="12"/>
  <c r="N184" i="12"/>
  <c r="O184" i="12"/>
  <c r="P184" i="12"/>
  <c r="Q184" i="12"/>
  <c r="R184" i="12"/>
  <c r="S184" i="12"/>
  <c r="T184" i="12"/>
  <c r="U184" i="12"/>
  <c r="V184" i="12"/>
  <c r="M191" i="12"/>
  <c r="N191" i="12"/>
  <c r="O191" i="12"/>
  <c r="P191" i="12"/>
  <c r="Q191" i="12"/>
  <c r="R191" i="12"/>
  <c r="S191" i="12"/>
  <c r="T191" i="12"/>
  <c r="U191" i="12"/>
  <c r="V191" i="12"/>
  <c r="E193" i="12"/>
  <c r="F193" i="12"/>
  <c r="G193" i="12"/>
  <c r="H193" i="12"/>
  <c r="I193" i="12"/>
  <c r="M193" i="12"/>
  <c r="N193" i="12"/>
  <c r="O193" i="12"/>
  <c r="P193" i="12"/>
  <c r="Q193" i="12"/>
  <c r="R193" i="12"/>
  <c r="S193" i="12"/>
  <c r="T193" i="12"/>
  <c r="U193" i="12"/>
  <c r="V193" i="12"/>
  <c r="E199" i="12"/>
  <c r="F199" i="12"/>
  <c r="G199" i="12"/>
  <c r="H199" i="12"/>
  <c r="I199" i="12"/>
  <c r="M199" i="12"/>
  <c r="N199" i="12"/>
  <c r="O199" i="12"/>
  <c r="P199" i="12"/>
  <c r="Q199" i="12"/>
  <c r="R199" i="12"/>
  <c r="S199" i="12"/>
  <c r="T199" i="12"/>
  <c r="U199" i="12"/>
  <c r="V199" i="12"/>
  <c r="N211" i="12"/>
  <c r="O211" i="12"/>
  <c r="P211" i="12"/>
  <c r="Q211" i="12"/>
  <c r="R211" i="12"/>
  <c r="S211" i="12"/>
  <c r="T211" i="12"/>
  <c r="U211" i="12"/>
  <c r="V211" i="12"/>
  <c r="N212" i="12"/>
  <c r="O212" i="12"/>
  <c r="P212" i="12"/>
  <c r="Q212" i="12"/>
  <c r="R212" i="12"/>
  <c r="S212" i="12"/>
  <c r="T212" i="12"/>
  <c r="U212" i="12"/>
  <c r="V212" i="12"/>
  <c r="M228" i="12"/>
  <c r="N228" i="12"/>
  <c r="O228" i="12"/>
  <c r="P228" i="12"/>
  <c r="Q228" i="12"/>
  <c r="R228" i="12"/>
  <c r="S228" i="12"/>
  <c r="T228" i="12"/>
  <c r="U228" i="12"/>
  <c r="V228" i="12"/>
  <c r="M229" i="12"/>
  <c r="N229" i="12"/>
  <c r="O229" i="12"/>
  <c r="P229" i="12"/>
  <c r="Q229" i="12"/>
  <c r="R229" i="12"/>
  <c r="S229" i="12"/>
  <c r="T229" i="12"/>
  <c r="U229" i="12"/>
  <c r="V229" i="12"/>
  <c r="M231" i="12"/>
  <c r="N231" i="12"/>
  <c r="O231" i="12"/>
  <c r="P231" i="12"/>
  <c r="Q231" i="12"/>
  <c r="R231" i="12"/>
  <c r="S231" i="12"/>
  <c r="T231" i="12"/>
  <c r="U231" i="12"/>
  <c r="V231" i="12"/>
  <c r="M232" i="12"/>
  <c r="N232" i="12"/>
  <c r="O232" i="12"/>
  <c r="P232" i="12"/>
  <c r="Q232" i="12"/>
  <c r="R232" i="12"/>
  <c r="S232" i="12"/>
  <c r="T232" i="12"/>
  <c r="U232" i="12"/>
  <c r="V232" i="12"/>
  <c r="M233" i="12"/>
  <c r="N233" i="12"/>
  <c r="O233" i="12"/>
  <c r="P233" i="12"/>
  <c r="Q233" i="12"/>
  <c r="R233" i="12"/>
  <c r="S233" i="12"/>
  <c r="T233" i="12"/>
  <c r="U233" i="12"/>
  <c r="V233" i="12"/>
  <c r="V240" i="12"/>
  <c r="M247" i="12"/>
  <c r="N247" i="12"/>
  <c r="O247" i="12"/>
  <c r="P247" i="12"/>
  <c r="Q247" i="12"/>
  <c r="R247" i="12"/>
  <c r="S247" i="12"/>
  <c r="T247" i="12"/>
  <c r="U247" i="12"/>
  <c r="V247" i="12"/>
  <c r="M252" i="12"/>
  <c r="N252" i="12"/>
  <c r="O252" i="12"/>
  <c r="P252" i="12"/>
  <c r="Q252" i="12"/>
  <c r="R252" i="12"/>
  <c r="S252" i="12"/>
  <c r="T252" i="12"/>
  <c r="U252" i="12"/>
  <c r="V252" i="12"/>
  <c r="M262" i="12"/>
  <c r="N262" i="12"/>
  <c r="O262" i="12"/>
  <c r="P262" i="12"/>
  <c r="Q262" i="12"/>
  <c r="R262" i="12"/>
  <c r="S262" i="12"/>
  <c r="T262" i="12"/>
  <c r="U262" i="12"/>
  <c r="V262" i="12"/>
  <c r="M273" i="12"/>
  <c r="N273" i="12"/>
  <c r="O273" i="12"/>
  <c r="P273" i="12"/>
  <c r="Q273" i="12"/>
  <c r="R273" i="12"/>
  <c r="S273" i="12"/>
  <c r="T273" i="12"/>
  <c r="U273" i="12"/>
  <c r="V273" i="12"/>
  <c r="M274" i="12"/>
  <c r="N274" i="12"/>
  <c r="O274" i="12"/>
  <c r="P274" i="12"/>
  <c r="Q274" i="12"/>
  <c r="R274" i="12"/>
  <c r="S274" i="12"/>
  <c r="T274" i="12"/>
  <c r="U274" i="12"/>
  <c r="V274" i="12"/>
  <c r="M275" i="12"/>
  <c r="N275" i="12"/>
  <c r="O275" i="12"/>
  <c r="P275" i="12"/>
  <c r="Q275" i="12"/>
  <c r="R275" i="12"/>
  <c r="S275" i="12"/>
  <c r="T275" i="12"/>
  <c r="U275" i="12"/>
  <c r="V275" i="12"/>
  <c r="M276" i="12"/>
  <c r="N276" i="12"/>
  <c r="O276" i="12"/>
  <c r="P276" i="12"/>
  <c r="Q276" i="12"/>
  <c r="R276" i="12"/>
  <c r="S276" i="12"/>
  <c r="T276" i="12"/>
  <c r="U276" i="12"/>
  <c r="V276" i="12"/>
  <c r="M277" i="12"/>
  <c r="N277" i="12"/>
  <c r="O277" i="12"/>
  <c r="P277" i="12"/>
  <c r="Q277" i="12"/>
  <c r="R277" i="12"/>
  <c r="S277" i="12"/>
  <c r="T277" i="12"/>
  <c r="U277" i="12"/>
  <c r="V277" i="12"/>
  <c r="M278" i="12"/>
  <c r="N278" i="12"/>
  <c r="O278" i="12"/>
  <c r="P278" i="12"/>
  <c r="Q278" i="12"/>
  <c r="R278" i="12"/>
  <c r="S278" i="12"/>
  <c r="T278" i="12"/>
  <c r="U278" i="12"/>
  <c r="V278" i="12"/>
  <c r="M279" i="12"/>
  <c r="N279" i="12"/>
  <c r="O279" i="12"/>
  <c r="P279" i="12"/>
  <c r="Q279" i="12"/>
  <c r="R279" i="12"/>
  <c r="S279" i="12"/>
  <c r="T279" i="12"/>
  <c r="U279" i="12"/>
  <c r="V279" i="12"/>
  <c r="M280" i="12"/>
  <c r="N280" i="12"/>
  <c r="O280" i="12"/>
  <c r="P280" i="12"/>
  <c r="Q280" i="12"/>
  <c r="R280" i="12"/>
  <c r="S280" i="12"/>
  <c r="T280" i="12"/>
  <c r="U280" i="12"/>
  <c r="V280" i="12"/>
  <c r="M281" i="12"/>
  <c r="N281" i="12"/>
  <c r="O281" i="12"/>
  <c r="P281" i="12"/>
  <c r="Q281" i="12"/>
  <c r="R281" i="12"/>
  <c r="S281" i="12"/>
  <c r="T281" i="12"/>
  <c r="U281" i="12"/>
  <c r="V281" i="12"/>
  <c r="M282" i="12"/>
  <c r="N282" i="12"/>
  <c r="O282" i="12"/>
  <c r="P282" i="12"/>
  <c r="Q282" i="12"/>
  <c r="R282" i="12"/>
  <c r="S282" i="12"/>
  <c r="T282" i="12"/>
  <c r="U282" i="12"/>
  <c r="V282" i="12"/>
  <c r="M283" i="12"/>
  <c r="N283" i="12"/>
  <c r="O283" i="12"/>
  <c r="P283" i="12"/>
  <c r="Q283" i="12"/>
  <c r="R283" i="12"/>
  <c r="S283" i="12"/>
  <c r="T283" i="12"/>
  <c r="U283" i="12"/>
  <c r="V283" i="12"/>
  <c r="M284" i="12"/>
  <c r="N284" i="12"/>
  <c r="O284" i="12"/>
  <c r="P284" i="12"/>
  <c r="Q284" i="12"/>
  <c r="R284" i="12"/>
  <c r="S284" i="12"/>
  <c r="T284" i="12"/>
  <c r="U284" i="12"/>
  <c r="V284" i="12"/>
  <c r="M286" i="12"/>
  <c r="N286" i="12"/>
  <c r="O286" i="12"/>
  <c r="P286" i="12"/>
  <c r="Q286" i="12"/>
  <c r="R286" i="12"/>
  <c r="S286" i="12"/>
  <c r="T286" i="12"/>
  <c r="U286" i="12"/>
  <c r="V286" i="12"/>
  <c r="M288" i="12"/>
  <c r="N288" i="12"/>
  <c r="O288" i="12"/>
  <c r="P288" i="12"/>
  <c r="Q288" i="12"/>
  <c r="R288" i="12"/>
  <c r="S288" i="12"/>
  <c r="T288" i="12"/>
  <c r="U288" i="12"/>
  <c r="V288" i="12"/>
  <c r="M289" i="12"/>
  <c r="N289" i="12"/>
  <c r="O289" i="12"/>
  <c r="P289" i="12"/>
  <c r="Q289" i="12"/>
  <c r="R289" i="12"/>
  <c r="S289" i="12"/>
  <c r="T289" i="12"/>
  <c r="U289" i="12"/>
  <c r="V289" i="12"/>
  <c r="M292" i="12"/>
  <c r="N292" i="12"/>
  <c r="O292" i="12"/>
  <c r="P292" i="12"/>
  <c r="Q292" i="12"/>
  <c r="R292" i="12"/>
  <c r="S292" i="12"/>
  <c r="T292" i="12"/>
  <c r="U292" i="12"/>
  <c r="V292" i="12"/>
  <c r="M293" i="12"/>
  <c r="N293" i="12"/>
  <c r="O293" i="12"/>
  <c r="P293" i="12"/>
  <c r="Q293" i="12"/>
  <c r="R293" i="12"/>
  <c r="S293" i="12"/>
  <c r="T293" i="12"/>
  <c r="U293" i="12"/>
  <c r="V293" i="12"/>
  <c r="M294" i="12"/>
  <c r="N294" i="12"/>
  <c r="O294" i="12"/>
  <c r="P294" i="12"/>
  <c r="Q294" i="12"/>
  <c r="R294" i="12"/>
  <c r="S294" i="12"/>
  <c r="T294" i="12"/>
  <c r="U294" i="12"/>
  <c r="V294" i="12"/>
  <c r="M296" i="12"/>
  <c r="N296" i="12"/>
  <c r="O296" i="12"/>
  <c r="P296" i="12"/>
  <c r="Q296" i="12"/>
  <c r="R296" i="12"/>
  <c r="S296" i="12"/>
  <c r="T296" i="12"/>
  <c r="U296" i="12"/>
  <c r="V296" i="12"/>
  <c r="V301" i="12"/>
  <c r="M308" i="12"/>
  <c r="N308" i="12"/>
  <c r="O308" i="12"/>
  <c r="P308" i="12"/>
  <c r="Q308" i="12"/>
  <c r="R308" i="12"/>
  <c r="S308" i="12"/>
  <c r="T308" i="12"/>
  <c r="U308" i="12"/>
  <c r="V308" i="12"/>
  <c r="N315" i="12"/>
  <c r="O315" i="12"/>
  <c r="P315" i="12"/>
  <c r="Q315" i="12"/>
  <c r="R315" i="12"/>
  <c r="S315" i="12"/>
  <c r="T315" i="12"/>
  <c r="U315" i="12"/>
  <c r="V315" i="12"/>
  <c r="M316" i="12"/>
  <c r="N316" i="12"/>
  <c r="O316" i="12"/>
  <c r="P316" i="12"/>
  <c r="Q316" i="12"/>
  <c r="R316" i="12"/>
  <c r="S316" i="12"/>
  <c r="T316" i="12"/>
  <c r="U316" i="12"/>
  <c r="V316" i="12"/>
  <c r="N317" i="12"/>
  <c r="O317" i="12"/>
  <c r="P317" i="12"/>
  <c r="Q317" i="12"/>
  <c r="R317" i="12"/>
  <c r="S317" i="12"/>
  <c r="T317" i="12"/>
  <c r="U317" i="12"/>
  <c r="V317" i="12"/>
  <c r="N318" i="12"/>
  <c r="O318" i="12"/>
  <c r="P318" i="12"/>
  <c r="Q318" i="12"/>
  <c r="R318" i="12"/>
  <c r="S318" i="12"/>
  <c r="T318" i="12"/>
  <c r="U318" i="12"/>
  <c r="V318" i="12"/>
  <c r="N319" i="12"/>
  <c r="O319" i="12"/>
  <c r="P319" i="12"/>
  <c r="Q319" i="12"/>
  <c r="R319" i="12"/>
  <c r="S319" i="12"/>
  <c r="T319" i="12"/>
  <c r="U319" i="12"/>
  <c r="V319" i="12"/>
  <c r="N320" i="12"/>
  <c r="O320" i="12"/>
  <c r="P320" i="12"/>
  <c r="Q320" i="12"/>
  <c r="R320" i="12"/>
  <c r="S320" i="12"/>
  <c r="T320" i="12"/>
  <c r="U320" i="12"/>
  <c r="V320" i="12"/>
  <c r="N321" i="12"/>
  <c r="O321" i="12"/>
  <c r="P321" i="12"/>
  <c r="Q321" i="12"/>
  <c r="R321" i="12"/>
  <c r="S321" i="12"/>
  <c r="T321" i="12"/>
  <c r="U321" i="12"/>
  <c r="V321" i="12"/>
  <c r="N322" i="12"/>
  <c r="O322" i="12"/>
  <c r="P322" i="12"/>
  <c r="Q322" i="12"/>
  <c r="R322" i="12"/>
  <c r="S322" i="12"/>
  <c r="T322" i="12"/>
  <c r="U322" i="12"/>
  <c r="V322" i="12"/>
  <c r="N323" i="12"/>
  <c r="O323" i="12"/>
  <c r="P323" i="12"/>
  <c r="Q323" i="12"/>
  <c r="R323" i="12"/>
  <c r="S323" i="12"/>
  <c r="T323" i="12"/>
  <c r="U323" i="12"/>
  <c r="V323" i="12"/>
  <c r="M324" i="12"/>
  <c r="N324" i="12"/>
  <c r="O324" i="12"/>
  <c r="P324" i="12"/>
  <c r="Q324" i="12"/>
  <c r="R324" i="12"/>
  <c r="S324" i="12"/>
  <c r="T324" i="12"/>
  <c r="U324" i="12"/>
  <c r="V324" i="12"/>
  <c r="M326" i="12"/>
  <c r="N326" i="12"/>
  <c r="O326" i="12"/>
  <c r="P326" i="12"/>
  <c r="Q326" i="12"/>
  <c r="R326" i="12"/>
  <c r="S326" i="12"/>
  <c r="T326" i="12"/>
  <c r="U326" i="12"/>
  <c r="V326" i="12"/>
  <c r="M329" i="12"/>
  <c r="N329" i="12"/>
  <c r="O329" i="12"/>
  <c r="P329" i="12"/>
  <c r="Q329" i="12"/>
  <c r="R329" i="12"/>
  <c r="S329" i="12"/>
  <c r="T329" i="12"/>
  <c r="U329" i="12"/>
  <c r="V329" i="12"/>
  <c r="M330" i="12"/>
  <c r="N330" i="12"/>
  <c r="O330" i="12"/>
  <c r="P330" i="12"/>
  <c r="Q330" i="12"/>
  <c r="R330" i="12"/>
  <c r="S330" i="12"/>
  <c r="T330" i="12"/>
  <c r="U330" i="12"/>
  <c r="V330" i="12"/>
  <c r="M340" i="12"/>
  <c r="N340" i="12"/>
  <c r="O340" i="12"/>
  <c r="P340" i="12"/>
  <c r="Q340" i="12"/>
  <c r="R340" i="12"/>
  <c r="S340" i="12"/>
  <c r="T340" i="12"/>
  <c r="U340" i="12"/>
  <c r="V340" i="12"/>
  <c r="M341" i="12"/>
  <c r="N341" i="12"/>
  <c r="O341" i="12"/>
  <c r="P341" i="12"/>
  <c r="Q341" i="12"/>
  <c r="R341" i="12"/>
  <c r="S341" i="12"/>
  <c r="T341" i="12"/>
  <c r="U341" i="12"/>
  <c r="V341" i="12"/>
  <c r="M342" i="12"/>
  <c r="N342" i="12"/>
  <c r="O342" i="12"/>
  <c r="P342" i="12"/>
  <c r="Q342" i="12"/>
  <c r="R342" i="12"/>
  <c r="S342" i="12"/>
  <c r="T342" i="12"/>
  <c r="U342" i="12"/>
  <c r="V342" i="12"/>
  <c r="M343" i="12"/>
  <c r="N343" i="12"/>
  <c r="O343" i="12"/>
  <c r="P343" i="12"/>
  <c r="Q343" i="12"/>
  <c r="R343" i="12"/>
  <c r="S343" i="12"/>
  <c r="T343" i="12"/>
  <c r="U343" i="12"/>
  <c r="V343" i="12"/>
  <c r="M344" i="12"/>
  <c r="N344" i="12"/>
  <c r="O344" i="12"/>
  <c r="P344" i="12"/>
  <c r="Q344" i="12"/>
  <c r="R344" i="12"/>
  <c r="S344" i="12"/>
  <c r="T344" i="12"/>
  <c r="U344" i="12"/>
  <c r="V344" i="12"/>
  <c r="M345" i="12"/>
  <c r="N345" i="12"/>
  <c r="O345" i="12"/>
  <c r="P345" i="12"/>
  <c r="Q345" i="12"/>
  <c r="R345" i="12"/>
  <c r="S345" i="12"/>
  <c r="T345" i="12"/>
  <c r="U345" i="12"/>
  <c r="V345" i="12"/>
  <c r="M346" i="12"/>
  <c r="N346" i="12"/>
  <c r="O346" i="12"/>
  <c r="P346" i="12"/>
  <c r="Q346" i="12"/>
  <c r="R346" i="12"/>
  <c r="S346" i="12"/>
  <c r="T346" i="12"/>
  <c r="U346" i="12"/>
  <c r="V346" i="12"/>
  <c r="M347" i="12"/>
  <c r="N347" i="12"/>
  <c r="O347" i="12"/>
  <c r="P347" i="12"/>
  <c r="Q347" i="12"/>
  <c r="R347" i="12"/>
  <c r="S347" i="12"/>
  <c r="T347" i="12"/>
  <c r="U347" i="12"/>
  <c r="V347" i="12"/>
  <c r="M348" i="12"/>
  <c r="N348" i="12"/>
  <c r="O348" i="12"/>
  <c r="P348" i="12"/>
  <c r="Q348" i="12"/>
  <c r="R348" i="12"/>
  <c r="S348" i="12"/>
  <c r="T348" i="12"/>
  <c r="U348" i="12"/>
  <c r="V348" i="12"/>
  <c r="M349" i="12"/>
  <c r="N349" i="12"/>
  <c r="O349" i="12"/>
  <c r="P349" i="12"/>
  <c r="Q349" i="12"/>
  <c r="R349" i="12"/>
  <c r="S349" i="12"/>
  <c r="T349" i="12"/>
  <c r="U349" i="12"/>
  <c r="V349" i="12"/>
  <c r="M350" i="12"/>
  <c r="N350" i="12"/>
  <c r="O350" i="12"/>
  <c r="P350" i="12"/>
  <c r="Q350" i="12"/>
  <c r="R350" i="12"/>
  <c r="S350" i="12"/>
  <c r="T350" i="12"/>
  <c r="U350" i="12"/>
  <c r="V350" i="12"/>
  <c r="M351" i="12"/>
  <c r="N351" i="12"/>
  <c r="O351" i="12"/>
  <c r="P351" i="12"/>
  <c r="Q351" i="12"/>
  <c r="R351" i="12"/>
  <c r="S351" i="12"/>
  <c r="T351" i="12"/>
  <c r="U351" i="12"/>
  <c r="V351" i="12"/>
  <c r="M353" i="12"/>
  <c r="N353" i="12"/>
  <c r="O353" i="12"/>
  <c r="P353" i="12"/>
  <c r="Q353" i="12"/>
  <c r="R353" i="12"/>
  <c r="S353" i="12"/>
  <c r="T353" i="12"/>
  <c r="U353" i="12"/>
  <c r="V353" i="12"/>
  <c r="M355" i="12"/>
  <c r="N355" i="12"/>
  <c r="O355" i="12"/>
  <c r="P355" i="12"/>
  <c r="Q355" i="12"/>
  <c r="R355" i="12"/>
  <c r="S355" i="12"/>
  <c r="T355" i="12"/>
  <c r="U355" i="12"/>
  <c r="V355" i="12"/>
  <c r="M356" i="12"/>
  <c r="N356" i="12"/>
  <c r="O356" i="12"/>
  <c r="P356" i="12"/>
  <c r="Q356" i="12"/>
  <c r="R356" i="12"/>
  <c r="S356" i="12"/>
  <c r="T356" i="12"/>
  <c r="U356" i="12"/>
  <c r="V356" i="12"/>
  <c r="V361" i="12"/>
  <c r="V404" i="12"/>
  <c r="V425" i="12"/>
  <c r="N460" i="12"/>
  <c r="O460" i="12"/>
  <c r="P460" i="12"/>
  <c r="Q460" i="12"/>
  <c r="R460" i="12"/>
  <c r="S460" i="12"/>
  <c r="T460" i="12"/>
  <c r="U460" i="12"/>
  <c r="V460" i="12"/>
  <c r="N462" i="12"/>
  <c r="O462" i="12"/>
  <c r="P462" i="12"/>
  <c r="Q462" i="12"/>
  <c r="R462" i="12"/>
  <c r="S462" i="12"/>
  <c r="T462" i="12"/>
  <c r="U462" i="12"/>
  <c r="V462" i="12"/>
  <c r="M463" i="12"/>
  <c r="N463" i="12"/>
  <c r="O463" i="12"/>
  <c r="P463" i="12"/>
  <c r="Q463" i="12"/>
  <c r="R463" i="12"/>
  <c r="S463" i="12"/>
  <c r="T463" i="12"/>
  <c r="U463" i="12"/>
  <c r="V463" i="12"/>
  <c r="M464" i="12"/>
  <c r="N464" i="12"/>
  <c r="O464" i="12"/>
  <c r="P464" i="12"/>
  <c r="Q464" i="12"/>
  <c r="R464" i="12"/>
  <c r="S464" i="12"/>
  <c r="T464" i="12"/>
  <c r="U464" i="12"/>
  <c r="V464" i="12"/>
  <c r="N465" i="12"/>
  <c r="O465" i="12"/>
  <c r="P465" i="12"/>
  <c r="Q465" i="12"/>
  <c r="R465" i="12"/>
  <c r="S465" i="12"/>
  <c r="T465" i="12"/>
  <c r="U465" i="12"/>
  <c r="V465" i="12"/>
  <c r="N466" i="12"/>
  <c r="O466" i="12"/>
  <c r="P466" i="12"/>
  <c r="Q466" i="12"/>
  <c r="R466" i="12"/>
  <c r="S466" i="12"/>
  <c r="T466" i="12"/>
  <c r="U466" i="12"/>
  <c r="V466" i="12"/>
  <c r="N467" i="12"/>
  <c r="O467" i="12"/>
  <c r="P467" i="12"/>
  <c r="Q467" i="12"/>
  <c r="R467" i="12"/>
  <c r="S467" i="12"/>
  <c r="T467" i="12"/>
  <c r="U467" i="12"/>
  <c r="V467" i="12"/>
  <c r="N468" i="12"/>
  <c r="O468" i="12"/>
  <c r="P468" i="12"/>
  <c r="Q468" i="12"/>
  <c r="R468" i="12"/>
  <c r="S468" i="12"/>
  <c r="T468" i="12"/>
  <c r="U468" i="12"/>
  <c r="V468" i="12"/>
  <c r="N469" i="12"/>
  <c r="O469" i="12"/>
  <c r="P469" i="12"/>
  <c r="Q469" i="12"/>
  <c r="R469" i="12"/>
  <c r="S469" i="12"/>
  <c r="T469" i="12"/>
  <c r="U469" i="12"/>
  <c r="V469" i="12"/>
  <c r="N470" i="12"/>
  <c r="O470" i="12"/>
  <c r="P470" i="12"/>
  <c r="Q470" i="12"/>
  <c r="R470" i="12"/>
  <c r="S470" i="12"/>
  <c r="T470" i="12"/>
  <c r="U470" i="12"/>
  <c r="V470" i="12"/>
  <c r="N471" i="12"/>
  <c r="O471" i="12"/>
  <c r="P471" i="12"/>
  <c r="Q471" i="12"/>
  <c r="R471" i="12"/>
  <c r="S471" i="12"/>
  <c r="T471" i="12"/>
  <c r="U471" i="12"/>
  <c r="V471" i="12"/>
  <c r="N472" i="12"/>
  <c r="O472" i="12"/>
  <c r="P472" i="12"/>
  <c r="Q472" i="12"/>
  <c r="R472" i="12"/>
  <c r="S472" i="12"/>
  <c r="T472" i="12"/>
  <c r="U472" i="12"/>
  <c r="V472" i="12"/>
  <c r="N473" i="12"/>
  <c r="O473" i="12"/>
  <c r="P473" i="12"/>
  <c r="Q473" i="12"/>
  <c r="R473" i="12"/>
  <c r="S473" i="12"/>
  <c r="T473" i="12"/>
  <c r="U473" i="12"/>
  <c r="V473" i="12"/>
  <c r="N474" i="12"/>
  <c r="O474" i="12"/>
  <c r="P474" i="12"/>
  <c r="Q474" i="12"/>
  <c r="R474" i="12"/>
  <c r="S474" i="12"/>
  <c r="T474" i="12"/>
  <c r="U474" i="12"/>
  <c r="V474" i="12"/>
  <c r="N475" i="12"/>
  <c r="O475" i="12"/>
  <c r="P475" i="12"/>
  <c r="Q475" i="12"/>
  <c r="R475" i="12"/>
  <c r="S475" i="12"/>
  <c r="T475" i="12"/>
  <c r="U475" i="12"/>
  <c r="V475" i="12"/>
  <c r="M476" i="12"/>
  <c r="N476" i="12"/>
  <c r="O476" i="12"/>
  <c r="P476" i="12"/>
  <c r="Q476" i="12"/>
  <c r="R476" i="12"/>
  <c r="S476" i="12"/>
  <c r="T476" i="12"/>
  <c r="U476" i="12"/>
  <c r="V476" i="12"/>
  <c r="M479" i="12"/>
  <c r="N479" i="12"/>
  <c r="O479" i="12"/>
  <c r="P479" i="12"/>
  <c r="Q479" i="12"/>
  <c r="R479" i="12"/>
  <c r="S479" i="12"/>
  <c r="T479" i="12"/>
  <c r="U479" i="12"/>
  <c r="V479" i="12"/>
  <c r="M480" i="12"/>
  <c r="N480" i="12"/>
  <c r="O480" i="12"/>
  <c r="P480" i="12"/>
  <c r="Q480" i="12"/>
  <c r="R480" i="12"/>
  <c r="S480" i="12"/>
  <c r="T480" i="12"/>
  <c r="U480" i="12"/>
  <c r="V480" i="12"/>
  <c r="M481" i="12"/>
  <c r="N481" i="12"/>
  <c r="O481" i="12"/>
  <c r="P481" i="12"/>
  <c r="Q481" i="12"/>
  <c r="R481" i="12"/>
  <c r="S481" i="12"/>
  <c r="T481" i="12"/>
  <c r="U481" i="12"/>
  <c r="V481" i="12"/>
  <c r="M482" i="12"/>
  <c r="N482" i="12"/>
  <c r="O482" i="12"/>
  <c r="P482" i="12"/>
  <c r="Q482" i="12"/>
  <c r="R482" i="12"/>
  <c r="S482" i="12"/>
  <c r="T482" i="12"/>
  <c r="U482" i="12"/>
  <c r="V482" i="12"/>
  <c r="M483" i="12"/>
  <c r="N483" i="12"/>
  <c r="O483" i="12"/>
  <c r="P483" i="12"/>
  <c r="Q483" i="12"/>
  <c r="R483" i="12"/>
  <c r="S483" i="12"/>
  <c r="T483" i="12"/>
  <c r="U483" i="12"/>
  <c r="V483" i="12"/>
  <c r="M484" i="12"/>
  <c r="N484" i="12"/>
  <c r="O484" i="12"/>
  <c r="P484" i="12"/>
  <c r="Q484" i="12"/>
  <c r="R484" i="12"/>
  <c r="S484" i="12"/>
  <c r="T484" i="12"/>
  <c r="U484" i="12"/>
  <c r="V484" i="12"/>
  <c r="M485" i="12"/>
  <c r="N485" i="12"/>
  <c r="O485" i="12"/>
  <c r="P485" i="12"/>
  <c r="Q485" i="12"/>
  <c r="R485" i="12"/>
  <c r="S485" i="12"/>
  <c r="T485" i="12"/>
  <c r="U485" i="12"/>
  <c r="V485" i="12"/>
  <c r="M486" i="12"/>
  <c r="N486" i="12"/>
  <c r="O486" i="12"/>
  <c r="P486" i="12"/>
  <c r="Q486" i="12"/>
  <c r="R486" i="12"/>
  <c r="S486" i="12"/>
  <c r="T486" i="12"/>
  <c r="U486" i="12"/>
  <c r="V486" i="12"/>
  <c r="M487" i="12"/>
  <c r="N487" i="12"/>
  <c r="O487" i="12"/>
  <c r="P487" i="12"/>
  <c r="Q487" i="12"/>
  <c r="R487" i="12"/>
  <c r="S487" i="12"/>
  <c r="T487" i="12"/>
  <c r="U487" i="12"/>
  <c r="V487" i="12"/>
  <c r="M488" i="12"/>
  <c r="N488" i="12"/>
  <c r="O488" i="12"/>
  <c r="P488" i="12"/>
  <c r="Q488" i="12"/>
  <c r="R488" i="12"/>
  <c r="S488" i="12"/>
  <c r="T488" i="12"/>
  <c r="U488" i="12"/>
  <c r="V488" i="12"/>
  <c r="M489" i="12"/>
  <c r="N489" i="12"/>
  <c r="O489" i="12"/>
  <c r="P489" i="12"/>
  <c r="Q489" i="12"/>
  <c r="R489" i="12"/>
  <c r="S489" i="12"/>
  <c r="T489" i="12"/>
  <c r="U489" i="12"/>
  <c r="V489" i="12"/>
  <c r="M490" i="12"/>
  <c r="N490" i="12"/>
  <c r="O490" i="12"/>
  <c r="P490" i="12"/>
  <c r="Q490" i="12"/>
  <c r="R490" i="12"/>
  <c r="S490" i="12"/>
  <c r="T490" i="12"/>
  <c r="U490" i="12"/>
  <c r="V490" i="12"/>
  <c r="M491" i="12"/>
  <c r="N491" i="12"/>
  <c r="O491" i="12"/>
  <c r="P491" i="12"/>
  <c r="Q491" i="12"/>
  <c r="R491" i="12"/>
  <c r="S491" i="12"/>
  <c r="T491" i="12"/>
  <c r="U491" i="12"/>
  <c r="V491" i="12"/>
  <c r="N496" i="12"/>
  <c r="O496" i="12"/>
  <c r="P496" i="12"/>
  <c r="Q496" i="12"/>
  <c r="R496" i="12"/>
  <c r="S496" i="12"/>
  <c r="T496" i="12"/>
  <c r="U496" i="12"/>
  <c r="V496" i="12"/>
  <c r="M497" i="12"/>
  <c r="N497" i="12"/>
  <c r="O497" i="12"/>
  <c r="P497" i="12"/>
  <c r="Q497" i="12"/>
  <c r="R497" i="12"/>
  <c r="S497" i="12"/>
  <c r="T497" i="12"/>
  <c r="U497" i="12"/>
  <c r="V497" i="12"/>
  <c r="M498" i="12"/>
  <c r="N498" i="12"/>
  <c r="O498" i="12"/>
  <c r="P498" i="12"/>
  <c r="Q498" i="12"/>
  <c r="R498" i="12"/>
  <c r="S498" i="12"/>
  <c r="T498" i="12"/>
  <c r="U498" i="12"/>
  <c r="V498" i="12"/>
  <c r="M499" i="12"/>
  <c r="N499" i="12"/>
  <c r="O499" i="12"/>
  <c r="P499" i="12"/>
  <c r="Q499" i="12"/>
  <c r="R499" i="12"/>
  <c r="S499" i="12"/>
  <c r="T499" i="12"/>
  <c r="U499" i="12"/>
  <c r="V499" i="12"/>
  <c r="M502" i="12"/>
  <c r="N502" i="12"/>
  <c r="O502" i="12"/>
  <c r="P502" i="12"/>
  <c r="Q502" i="12"/>
  <c r="R502" i="12"/>
  <c r="S502" i="12"/>
  <c r="T502" i="12"/>
  <c r="U502" i="12"/>
  <c r="V502" i="12"/>
  <c r="N505" i="12"/>
  <c r="O505" i="12"/>
  <c r="P505" i="12"/>
  <c r="Q505" i="12"/>
  <c r="R505" i="12"/>
  <c r="S505" i="12"/>
  <c r="T505" i="12"/>
  <c r="U505" i="12"/>
  <c r="V505" i="12"/>
  <c r="N506" i="12"/>
  <c r="O506" i="12"/>
  <c r="P506" i="12"/>
  <c r="Q506" i="12"/>
  <c r="R506" i="12"/>
  <c r="S506" i="12"/>
  <c r="T506" i="12"/>
  <c r="U506" i="12"/>
  <c r="V506" i="12"/>
  <c r="N507" i="12"/>
  <c r="O507" i="12"/>
  <c r="P507" i="12"/>
  <c r="Q507" i="12"/>
  <c r="R507" i="12"/>
  <c r="S507" i="12"/>
  <c r="T507" i="12"/>
  <c r="U507" i="12"/>
  <c r="V507" i="12"/>
  <c r="N512" i="12"/>
  <c r="O512" i="12"/>
  <c r="P512" i="12"/>
  <c r="Q512" i="12"/>
  <c r="R512" i="12"/>
  <c r="S512" i="12"/>
  <c r="T512" i="12"/>
  <c r="U512" i="12"/>
  <c r="V512" i="12"/>
  <c r="N514" i="12"/>
  <c r="O514" i="12"/>
  <c r="P514" i="12"/>
  <c r="Q514" i="12"/>
  <c r="R514" i="12"/>
  <c r="S514" i="12"/>
  <c r="T514" i="12"/>
  <c r="U514" i="12"/>
  <c r="V514" i="12"/>
  <c r="M515" i="12"/>
  <c r="N515" i="12"/>
  <c r="O515" i="12"/>
  <c r="P515" i="12"/>
  <c r="Q515" i="12"/>
  <c r="R515" i="12"/>
  <c r="S515" i="12"/>
  <c r="T515" i="12"/>
  <c r="U515" i="12"/>
  <c r="V515" i="12"/>
  <c r="M516" i="12"/>
  <c r="N516" i="12"/>
  <c r="O516" i="12"/>
  <c r="P516" i="12"/>
  <c r="Q516" i="12"/>
  <c r="R516" i="12"/>
  <c r="S516" i="12"/>
  <c r="T516" i="12"/>
  <c r="U516" i="12"/>
  <c r="V516" i="12"/>
  <c r="N519" i="12"/>
  <c r="O519" i="12"/>
  <c r="P519" i="12"/>
  <c r="Q519" i="12"/>
  <c r="R519" i="12"/>
  <c r="S519" i="12"/>
  <c r="T519" i="12"/>
  <c r="U519" i="12"/>
  <c r="V519" i="12"/>
  <c r="N522" i="12"/>
  <c r="O522" i="12"/>
  <c r="P522" i="12"/>
  <c r="Q522" i="12"/>
  <c r="R522" i="12"/>
  <c r="S522" i="12"/>
  <c r="T522" i="12"/>
  <c r="U522" i="12"/>
  <c r="V522" i="12"/>
  <c r="M523" i="12"/>
  <c r="N523" i="12"/>
  <c r="O523" i="12"/>
  <c r="P523" i="12"/>
  <c r="Q523" i="12"/>
  <c r="R523" i="12"/>
  <c r="S523" i="12"/>
  <c r="T523" i="12"/>
  <c r="U523" i="12"/>
  <c r="V523" i="12"/>
  <c r="M524" i="12"/>
  <c r="N524" i="12"/>
  <c r="O524" i="12"/>
  <c r="P524" i="12"/>
  <c r="Q524" i="12"/>
  <c r="R524" i="12"/>
  <c r="S524" i="12"/>
  <c r="T524" i="12"/>
  <c r="U524" i="12"/>
  <c r="V524" i="12"/>
  <c r="M525" i="12"/>
  <c r="N525" i="12"/>
  <c r="O525" i="12"/>
  <c r="P525" i="12"/>
  <c r="Q525" i="12"/>
  <c r="R525" i="12"/>
  <c r="S525" i="12"/>
  <c r="T525" i="12"/>
  <c r="U525" i="12"/>
  <c r="V525" i="12"/>
  <c r="N528" i="12"/>
  <c r="O528" i="12"/>
  <c r="P528" i="12"/>
  <c r="Q528" i="12"/>
  <c r="R528" i="12"/>
  <c r="S528" i="12"/>
  <c r="T528" i="12"/>
  <c r="U528" i="12"/>
  <c r="V528" i="12"/>
  <c r="M530" i="12"/>
  <c r="N530" i="12"/>
  <c r="O530" i="12"/>
  <c r="P530" i="12"/>
  <c r="Q530" i="12"/>
  <c r="R530" i="12"/>
  <c r="S530" i="12"/>
  <c r="T530" i="12"/>
  <c r="U530" i="12"/>
  <c r="V530" i="12"/>
  <c r="M531" i="12"/>
  <c r="N531" i="12"/>
  <c r="O531" i="12"/>
  <c r="P531" i="12"/>
  <c r="Q531" i="12"/>
  <c r="R531" i="12"/>
  <c r="S531" i="12"/>
  <c r="T531" i="12"/>
  <c r="U531" i="12"/>
  <c r="V531" i="12"/>
  <c r="N534" i="12"/>
  <c r="O534" i="12"/>
  <c r="P534" i="12"/>
  <c r="Q534" i="12"/>
  <c r="R534" i="12"/>
  <c r="S534" i="12"/>
  <c r="T534" i="12"/>
  <c r="U534" i="12"/>
  <c r="V534" i="12"/>
  <c r="N536" i="12"/>
  <c r="O536" i="12"/>
  <c r="P536" i="12"/>
  <c r="Q536" i="12"/>
  <c r="R536" i="12"/>
  <c r="S536" i="12"/>
  <c r="T536" i="12"/>
  <c r="U536" i="12"/>
  <c r="V536" i="12"/>
  <c r="N541" i="12"/>
  <c r="O541" i="12"/>
  <c r="P541" i="12"/>
  <c r="Q541" i="12"/>
  <c r="R541" i="12"/>
  <c r="S541" i="12"/>
  <c r="T541" i="12"/>
  <c r="U541" i="12"/>
  <c r="V541" i="12"/>
  <c r="N542" i="12"/>
  <c r="O542" i="12"/>
  <c r="P542" i="12"/>
  <c r="Q542" i="12"/>
  <c r="R542" i="12"/>
  <c r="S542" i="12"/>
  <c r="T542" i="12"/>
  <c r="U542" i="12"/>
  <c r="V542" i="12"/>
  <c r="N543" i="12"/>
  <c r="O543" i="12"/>
  <c r="P543" i="12"/>
  <c r="Q543" i="12"/>
  <c r="R543" i="12"/>
  <c r="S543" i="12"/>
  <c r="T543" i="12"/>
  <c r="U543" i="12"/>
  <c r="V543" i="12"/>
  <c r="M544" i="12"/>
  <c r="N544" i="12"/>
  <c r="O544" i="12"/>
  <c r="P544" i="12"/>
  <c r="Q544" i="12"/>
  <c r="R544" i="12"/>
  <c r="S544" i="12"/>
  <c r="T544" i="12"/>
  <c r="U544" i="12"/>
  <c r="V544" i="12"/>
  <c r="M545" i="12"/>
  <c r="N545" i="12"/>
  <c r="O545" i="12"/>
  <c r="P545" i="12"/>
  <c r="Q545" i="12"/>
  <c r="R545" i="12"/>
  <c r="S545" i="12"/>
  <c r="T545" i="12"/>
  <c r="U545" i="12"/>
  <c r="V545" i="12"/>
  <c r="N548" i="12"/>
  <c r="O548" i="12"/>
  <c r="P548" i="12"/>
  <c r="Q548" i="12"/>
  <c r="R548" i="12"/>
  <c r="S548" i="12"/>
  <c r="T548" i="12"/>
  <c r="U548" i="12"/>
  <c r="V548" i="12"/>
  <c r="N549" i="12"/>
  <c r="O549" i="12"/>
  <c r="P549" i="12"/>
  <c r="Q549" i="12"/>
  <c r="R549" i="12"/>
  <c r="S549" i="12"/>
  <c r="T549" i="12"/>
  <c r="U549" i="12"/>
  <c r="V549" i="12"/>
  <c r="N550" i="12"/>
  <c r="O550" i="12"/>
  <c r="P550" i="12"/>
  <c r="Q550" i="12"/>
  <c r="R550" i="12"/>
  <c r="S550" i="12"/>
  <c r="T550" i="12"/>
  <c r="U550" i="12"/>
  <c r="V550" i="12"/>
  <c r="N551" i="12"/>
  <c r="O551" i="12"/>
  <c r="P551" i="12"/>
  <c r="Q551" i="12"/>
  <c r="R551" i="12"/>
  <c r="S551" i="12"/>
  <c r="T551" i="12"/>
  <c r="U551" i="12"/>
  <c r="V551" i="12"/>
  <c r="M552" i="12"/>
  <c r="N552" i="12"/>
  <c r="O552" i="12"/>
  <c r="P552" i="12"/>
  <c r="Q552" i="12"/>
  <c r="R552" i="12"/>
  <c r="S552" i="12"/>
  <c r="T552" i="12"/>
  <c r="U552" i="12"/>
  <c r="V552" i="12"/>
  <c r="M553" i="12"/>
  <c r="N553" i="12"/>
  <c r="O553" i="12"/>
  <c r="P553" i="12"/>
  <c r="Q553" i="12"/>
  <c r="R553" i="12"/>
  <c r="S553" i="12"/>
  <c r="T553" i="12"/>
  <c r="U553" i="12"/>
  <c r="V553" i="12"/>
  <c r="M554" i="12"/>
  <c r="N554" i="12"/>
  <c r="O554" i="12"/>
  <c r="P554" i="12"/>
  <c r="Q554" i="12"/>
  <c r="R554" i="12"/>
  <c r="S554" i="12"/>
  <c r="T554" i="12"/>
  <c r="U554" i="12"/>
  <c r="V554" i="12"/>
  <c r="N557" i="12"/>
  <c r="O557" i="12"/>
  <c r="P557" i="12"/>
  <c r="Q557" i="12"/>
  <c r="R557" i="12"/>
  <c r="S557" i="12"/>
  <c r="T557" i="12"/>
  <c r="U557" i="12"/>
  <c r="V557" i="12"/>
  <c r="N558" i="12"/>
  <c r="O558" i="12"/>
  <c r="P558" i="12"/>
  <c r="Q558" i="12"/>
  <c r="R558" i="12"/>
  <c r="S558" i="12"/>
  <c r="T558" i="12"/>
  <c r="U558" i="12"/>
  <c r="V558" i="12"/>
  <c r="M559" i="12"/>
  <c r="N559" i="12"/>
  <c r="O559" i="12"/>
  <c r="P559" i="12"/>
  <c r="Q559" i="12"/>
  <c r="R559" i="12"/>
  <c r="S559" i="12"/>
  <c r="T559" i="12"/>
  <c r="U559" i="12"/>
  <c r="V559" i="12"/>
  <c r="M560" i="12"/>
  <c r="N560" i="12"/>
  <c r="O560" i="12"/>
  <c r="P560" i="12"/>
  <c r="Q560" i="12"/>
  <c r="R560" i="12"/>
  <c r="S560" i="12"/>
  <c r="T560" i="12"/>
  <c r="U560" i="12"/>
  <c r="V560" i="12"/>
  <c r="N563" i="12"/>
  <c r="O563" i="12"/>
  <c r="P563" i="12"/>
  <c r="Q563" i="12"/>
  <c r="R563" i="12"/>
  <c r="S563" i="12"/>
  <c r="T563" i="12"/>
  <c r="U563" i="12"/>
  <c r="V563" i="12"/>
  <c r="N564" i="12"/>
  <c r="O564" i="12"/>
  <c r="P564" i="12"/>
  <c r="Q564" i="12"/>
  <c r="R564" i="12"/>
  <c r="S564" i="12"/>
  <c r="T564" i="12"/>
  <c r="U564" i="12"/>
  <c r="V564" i="12"/>
  <c r="N565" i="12"/>
  <c r="O565" i="12"/>
  <c r="P565" i="12"/>
  <c r="Q565" i="12"/>
  <c r="R565" i="12"/>
  <c r="S565" i="12"/>
  <c r="T565" i="12"/>
  <c r="U565" i="12"/>
  <c r="V565" i="12"/>
  <c r="N570" i="12"/>
  <c r="O570" i="12"/>
  <c r="P570" i="12"/>
  <c r="Q570" i="12"/>
  <c r="R570" i="12"/>
  <c r="S570" i="12"/>
  <c r="T570" i="12"/>
  <c r="U570" i="12"/>
  <c r="V570" i="12"/>
  <c r="N571" i="12"/>
  <c r="O571" i="12"/>
  <c r="P571" i="12"/>
  <c r="Q571" i="12"/>
  <c r="R571" i="12"/>
  <c r="S571" i="12"/>
  <c r="T571" i="12"/>
  <c r="U571" i="12"/>
  <c r="V571" i="12"/>
  <c r="N572" i="12"/>
  <c r="O572" i="12"/>
  <c r="P572" i="12"/>
  <c r="Q572" i="12"/>
  <c r="R572" i="12"/>
  <c r="S572" i="12"/>
  <c r="T572" i="12"/>
  <c r="U572" i="12"/>
  <c r="V572" i="12"/>
  <c r="M573" i="12"/>
  <c r="N573" i="12"/>
  <c r="O573" i="12"/>
  <c r="P573" i="12"/>
  <c r="Q573" i="12"/>
  <c r="R573" i="12"/>
  <c r="S573" i="12"/>
  <c r="T573" i="12"/>
  <c r="U573" i="12"/>
  <c r="V573" i="12"/>
  <c r="M574" i="12"/>
  <c r="N574" i="12"/>
  <c r="O574" i="12"/>
  <c r="P574" i="12"/>
  <c r="Q574" i="12"/>
  <c r="R574" i="12"/>
  <c r="S574" i="12"/>
  <c r="T574" i="12"/>
  <c r="U574" i="12"/>
  <c r="V574" i="12"/>
  <c r="N577" i="12"/>
  <c r="O577" i="12"/>
  <c r="P577" i="12"/>
  <c r="Q577" i="12"/>
  <c r="R577" i="12"/>
  <c r="S577" i="12"/>
  <c r="T577" i="12"/>
  <c r="U577" i="12"/>
  <c r="V577" i="12"/>
  <c r="N578" i="12"/>
  <c r="O578" i="12"/>
  <c r="P578" i="12"/>
  <c r="Q578" i="12"/>
  <c r="R578" i="12"/>
  <c r="S578" i="12"/>
  <c r="T578" i="12"/>
  <c r="U578" i="12"/>
  <c r="V578" i="12"/>
  <c r="N579" i="12"/>
  <c r="O579" i="12"/>
  <c r="P579" i="12"/>
  <c r="Q579" i="12"/>
  <c r="R579" i="12"/>
  <c r="S579" i="12"/>
  <c r="T579" i="12"/>
  <c r="U579" i="12"/>
  <c r="V579" i="12"/>
  <c r="N580" i="12"/>
  <c r="O580" i="12"/>
  <c r="P580" i="12"/>
  <c r="Q580" i="12"/>
  <c r="R580" i="12"/>
  <c r="S580" i="12"/>
  <c r="T580" i="12"/>
  <c r="U580" i="12"/>
  <c r="V580" i="12"/>
  <c r="M581" i="12"/>
  <c r="N581" i="12"/>
  <c r="O581" i="12"/>
  <c r="P581" i="12"/>
  <c r="Q581" i="12"/>
  <c r="R581" i="12"/>
  <c r="S581" i="12"/>
  <c r="T581" i="12"/>
  <c r="U581" i="12"/>
  <c r="V581" i="12"/>
  <c r="M582" i="12"/>
  <c r="N582" i="12"/>
  <c r="O582" i="12"/>
  <c r="P582" i="12"/>
  <c r="Q582" i="12"/>
  <c r="R582" i="12"/>
  <c r="S582" i="12"/>
  <c r="T582" i="12"/>
  <c r="U582" i="12"/>
  <c r="V582" i="12"/>
  <c r="M583" i="12"/>
  <c r="N583" i="12"/>
  <c r="O583" i="12"/>
  <c r="P583" i="12"/>
  <c r="Q583" i="12"/>
  <c r="R583" i="12"/>
  <c r="S583" i="12"/>
  <c r="T583" i="12"/>
  <c r="U583" i="12"/>
  <c r="V583" i="12"/>
  <c r="N586" i="12"/>
  <c r="O586" i="12"/>
  <c r="P586" i="12"/>
  <c r="Q586" i="12"/>
  <c r="R586" i="12"/>
  <c r="S586" i="12"/>
  <c r="T586" i="12"/>
  <c r="U586" i="12"/>
  <c r="V586" i="12"/>
  <c r="N587" i="12"/>
  <c r="O587" i="12"/>
  <c r="P587" i="12"/>
  <c r="Q587" i="12"/>
  <c r="R587" i="12"/>
  <c r="S587" i="12"/>
  <c r="T587" i="12"/>
  <c r="U587" i="12"/>
  <c r="V587" i="12"/>
  <c r="M588" i="12"/>
  <c r="N588" i="12"/>
  <c r="O588" i="12"/>
  <c r="P588" i="12"/>
  <c r="Q588" i="12"/>
  <c r="R588" i="12"/>
  <c r="S588" i="12"/>
  <c r="T588" i="12"/>
  <c r="U588" i="12"/>
  <c r="V588" i="12"/>
  <c r="M589" i="12"/>
  <c r="N589" i="12"/>
  <c r="O589" i="12"/>
  <c r="P589" i="12"/>
  <c r="Q589" i="12"/>
  <c r="R589" i="12"/>
  <c r="S589" i="12"/>
  <c r="T589" i="12"/>
  <c r="U589" i="12"/>
  <c r="V589" i="12"/>
  <c r="N592" i="12"/>
  <c r="O592" i="12"/>
  <c r="P592" i="12"/>
  <c r="Q592" i="12"/>
  <c r="R592" i="12"/>
  <c r="S592" i="12"/>
  <c r="T592" i="12"/>
  <c r="U592" i="12"/>
  <c r="V592" i="12"/>
  <c r="N593" i="12"/>
  <c r="O593" i="12"/>
  <c r="P593" i="12"/>
  <c r="Q593" i="12"/>
  <c r="R593" i="12"/>
  <c r="S593" i="12"/>
  <c r="T593" i="12"/>
  <c r="U593" i="12"/>
  <c r="V593" i="12"/>
  <c r="N594" i="12"/>
  <c r="O594" i="12"/>
  <c r="P594" i="12"/>
  <c r="Q594" i="12"/>
  <c r="R594" i="12"/>
  <c r="S594" i="12"/>
  <c r="T594" i="12"/>
  <c r="U594" i="12"/>
  <c r="V594" i="12"/>
  <c r="N599" i="12"/>
  <c r="O599" i="12"/>
  <c r="P599" i="12"/>
  <c r="Q599" i="12"/>
  <c r="R599" i="12"/>
  <c r="S599" i="12"/>
  <c r="T599" i="12"/>
  <c r="U599" i="12"/>
  <c r="V599" i="12"/>
  <c r="N600" i="12"/>
  <c r="O600" i="12"/>
  <c r="P600" i="12"/>
  <c r="Q600" i="12"/>
  <c r="R600" i="12"/>
  <c r="S600" i="12"/>
  <c r="T600" i="12"/>
  <c r="U600" i="12"/>
  <c r="V600" i="12"/>
  <c r="N601" i="12"/>
  <c r="O601" i="12"/>
  <c r="P601" i="12"/>
  <c r="Q601" i="12"/>
  <c r="R601" i="12"/>
  <c r="S601" i="12"/>
  <c r="T601" i="12"/>
  <c r="U601" i="12"/>
  <c r="V601" i="12"/>
  <c r="M602" i="12"/>
  <c r="N602" i="12"/>
  <c r="O602" i="12"/>
  <c r="P602" i="12"/>
  <c r="Q602" i="12"/>
  <c r="R602" i="12"/>
  <c r="S602" i="12"/>
  <c r="T602" i="12"/>
  <c r="U602" i="12"/>
  <c r="V602" i="12"/>
  <c r="M603" i="12"/>
  <c r="N603" i="12"/>
  <c r="O603" i="12"/>
  <c r="P603" i="12"/>
  <c r="Q603" i="12"/>
  <c r="R603" i="12"/>
  <c r="S603" i="12"/>
  <c r="T603" i="12"/>
  <c r="U603" i="12"/>
  <c r="V603" i="12"/>
  <c r="N606" i="12"/>
  <c r="O606" i="12"/>
  <c r="P606" i="12"/>
  <c r="Q606" i="12"/>
  <c r="R606" i="12"/>
  <c r="S606" i="12"/>
  <c r="T606" i="12"/>
  <c r="U606" i="12"/>
  <c r="V606" i="12"/>
  <c r="N607" i="12"/>
  <c r="O607" i="12"/>
  <c r="P607" i="12"/>
  <c r="Q607" i="12"/>
  <c r="R607" i="12"/>
  <c r="S607" i="12"/>
  <c r="T607" i="12"/>
  <c r="U607" i="12"/>
  <c r="V607" i="12"/>
  <c r="N608" i="12"/>
  <c r="O608" i="12"/>
  <c r="P608" i="12"/>
  <c r="Q608" i="12"/>
  <c r="R608" i="12"/>
  <c r="S608" i="12"/>
  <c r="T608" i="12"/>
  <c r="U608" i="12"/>
  <c r="V608" i="12"/>
  <c r="N609" i="12"/>
  <c r="O609" i="12"/>
  <c r="P609" i="12"/>
  <c r="Q609" i="12"/>
  <c r="R609" i="12"/>
  <c r="S609" i="12"/>
  <c r="T609" i="12"/>
  <c r="U609" i="12"/>
  <c r="V609" i="12"/>
  <c r="M610" i="12"/>
  <c r="N610" i="12"/>
  <c r="O610" i="12"/>
  <c r="P610" i="12"/>
  <c r="Q610" i="12"/>
  <c r="R610" i="12"/>
  <c r="S610" i="12"/>
  <c r="T610" i="12"/>
  <c r="U610" i="12"/>
  <c r="V610" i="12"/>
  <c r="M611" i="12"/>
  <c r="N611" i="12"/>
  <c r="O611" i="12"/>
  <c r="P611" i="12"/>
  <c r="Q611" i="12"/>
  <c r="R611" i="12"/>
  <c r="S611" i="12"/>
  <c r="T611" i="12"/>
  <c r="U611" i="12"/>
  <c r="V611" i="12"/>
  <c r="M612" i="12"/>
  <c r="N612" i="12"/>
  <c r="O612" i="12"/>
  <c r="P612" i="12"/>
  <c r="Q612" i="12"/>
  <c r="R612" i="12"/>
  <c r="S612" i="12"/>
  <c r="T612" i="12"/>
  <c r="U612" i="12"/>
  <c r="V612" i="12"/>
  <c r="N615" i="12"/>
  <c r="O615" i="12"/>
  <c r="P615" i="12"/>
  <c r="Q615" i="12"/>
  <c r="R615" i="12"/>
  <c r="S615" i="12"/>
  <c r="T615" i="12"/>
  <c r="U615" i="12"/>
  <c r="V615" i="12"/>
  <c r="N616" i="12"/>
  <c r="O616" i="12"/>
  <c r="P616" i="12"/>
  <c r="Q616" i="12"/>
  <c r="R616" i="12"/>
  <c r="S616" i="12"/>
  <c r="T616" i="12"/>
  <c r="U616" i="12"/>
  <c r="V616" i="12"/>
  <c r="M617" i="12"/>
  <c r="N617" i="12"/>
  <c r="O617" i="12"/>
  <c r="P617" i="12"/>
  <c r="Q617" i="12"/>
  <c r="R617" i="12"/>
  <c r="S617" i="12"/>
  <c r="T617" i="12"/>
  <c r="U617" i="12"/>
  <c r="V617" i="12"/>
  <c r="M618" i="12"/>
  <c r="N618" i="12"/>
  <c r="O618" i="12"/>
  <c r="P618" i="12"/>
  <c r="Q618" i="12"/>
  <c r="R618" i="12"/>
  <c r="S618" i="12"/>
  <c r="T618" i="12"/>
  <c r="U618" i="12"/>
  <c r="V618" i="12"/>
  <c r="N621" i="12"/>
  <c r="O621" i="12"/>
  <c r="P621" i="12"/>
  <c r="Q621" i="12"/>
  <c r="R621" i="12"/>
  <c r="S621" i="12"/>
  <c r="T621" i="12"/>
  <c r="U621" i="12"/>
  <c r="V621" i="12"/>
  <c r="N622" i="12"/>
  <c r="O622" i="12"/>
  <c r="P622" i="12"/>
  <c r="Q622" i="12"/>
  <c r="R622" i="12"/>
  <c r="S622" i="12"/>
  <c r="T622" i="12"/>
  <c r="U622" i="12"/>
  <c r="V622" i="12"/>
  <c r="N623" i="12"/>
  <c r="O623" i="12"/>
  <c r="P623" i="12"/>
  <c r="Q623" i="12"/>
  <c r="R623" i="12"/>
  <c r="S623" i="12"/>
  <c r="T623" i="12"/>
  <c r="U623" i="12"/>
  <c r="V623" i="12"/>
  <c r="N628" i="12"/>
  <c r="O628" i="12"/>
  <c r="P628" i="12"/>
  <c r="Q628" i="12"/>
  <c r="R628" i="12"/>
  <c r="S628" i="12"/>
  <c r="T628" i="12"/>
  <c r="U628" i="12"/>
  <c r="V628" i="12"/>
  <c r="N629" i="12"/>
  <c r="O629" i="12"/>
  <c r="P629" i="12"/>
  <c r="Q629" i="12"/>
  <c r="R629" i="12"/>
  <c r="S629" i="12"/>
  <c r="T629" i="12"/>
  <c r="U629" i="12"/>
  <c r="V629" i="12"/>
  <c r="N630" i="12"/>
  <c r="O630" i="12"/>
  <c r="P630" i="12"/>
  <c r="Q630" i="12"/>
  <c r="R630" i="12"/>
  <c r="S630" i="12"/>
  <c r="T630" i="12"/>
  <c r="U630" i="12"/>
  <c r="V630" i="12"/>
  <c r="M631" i="12"/>
  <c r="N631" i="12"/>
  <c r="O631" i="12"/>
  <c r="P631" i="12"/>
  <c r="Q631" i="12"/>
  <c r="R631" i="12"/>
  <c r="S631" i="12"/>
  <c r="T631" i="12"/>
  <c r="U631" i="12"/>
  <c r="V631" i="12"/>
  <c r="M632" i="12"/>
  <c r="N632" i="12"/>
  <c r="O632" i="12"/>
  <c r="P632" i="12"/>
  <c r="Q632" i="12"/>
  <c r="R632" i="12"/>
  <c r="S632" i="12"/>
  <c r="T632" i="12"/>
  <c r="U632" i="12"/>
  <c r="V632" i="12"/>
  <c r="N635" i="12"/>
  <c r="O635" i="12"/>
  <c r="P635" i="12"/>
  <c r="Q635" i="12"/>
  <c r="R635" i="12"/>
  <c r="S635" i="12"/>
  <c r="T635" i="12"/>
  <c r="U635" i="12"/>
  <c r="V635" i="12"/>
  <c r="N636" i="12"/>
  <c r="O636" i="12"/>
  <c r="P636" i="12"/>
  <c r="Q636" i="12"/>
  <c r="R636" i="12"/>
  <c r="S636" i="12"/>
  <c r="T636" i="12"/>
  <c r="U636" i="12"/>
  <c r="V636" i="12"/>
  <c r="N637" i="12"/>
  <c r="O637" i="12"/>
  <c r="P637" i="12"/>
  <c r="Q637" i="12"/>
  <c r="R637" i="12"/>
  <c r="S637" i="12"/>
  <c r="T637" i="12"/>
  <c r="U637" i="12"/>
  <c r="V637" i="12"/>
  <c r="N638" i="12"/>
  <c r="O638" i="12"/>
  <c r="P638" i="12"/>
  <c r="Q638" i="12"/>
  <c r="R638" i="12"/>
  <c r="S638" i="12"/>
  <c r="T638" i="12"/>
  <c r="U638" i="12"/>
  <c r="V638" i="12"/>
  <c r="M639" i="12"/>
  <c r="N639" i="12"/>
  <c r="O639" i="12"/>
  <c r="P639" i="12"/>
  <c r="Q639" i="12"/>
  <c r="R639" i="12"/>
  <c r="S639" i="12"/>
  <c r="T639" i="12"/>
  <c r="U639" i="12"/>
  <c r="V639" i="12"/>
  <c r="M640" i="12"/>
  <c r="N640" i="12"/>
  <c r="O640" i="12"/>
  <c r="P640" i="12"/>
  <c r="Q640" i="12"/>
  <c r="R640" i="12"/>
  <c r="S640" i="12"/>
  <c r="T640" i="12"/>
  <c r="U640" i="12"/>
  <c r="V640" i="12"/>
  <c r="M641" i="12"/>
  <c r="N641" i="12"/>
  <c r="O641" i="12"/>
  <c r="P641" i="12"/>
  <c r="Q641" i="12"/>
  <c r="R641" i="12"/>
  <c r="S641" i="12"/>
  <c r="T641" i="12"/>
  <c r="U641" i="12"/>
  <c r="V641" i="12"/>
  <c r="N644" i="12"/>
  <c r="O644" i="12"/>
  <c r="P644" i="12"/>
  <c r="Q644" i="12"/>
  <c r="R644" i="12"/>
  <c r="S644" i="12"/>
  <c r="T644" i="12"/>
  <c r="U644" i="12"/>
  <c r="V644" i="12"/>
  <c r="N645" i="12"/>
  <c r="O645" i="12"/>
  <c r="P645" i="12"/>
  <c r="Q645" i="12"/>
  <c r="R645" i="12"/>
  <c r="S645" i="12"/>
  <c r="T645" i="12"/>
  <c r="U645" i="12"/>
  <c r="V645" i="12"/>
  <c r="M646" i="12"/>
  <c r="N646" i="12"/>
  <c r="O646" i="12"/>
  <c r="P646" i="12"/>
  <c r="Q646" i="12"/>
  <c r="R646" i="12"/>
  <c r="S646" i="12"/>
  <c r="T646" i="12"/>
  <c r="U646" i="12"/>
  <c r="V646" i="12"/>
  <c r="M647" i="12"/>
  <c r="N647" i="12"/>
  <c r="O647" i="12"/>
  <c r="P647" i="12"/>
  <c r="Q647" i="12"/>
  <c r="R647" i="12"/>
  <c r="S647" i="12"/>
  <c r="T647" i="12"/>
  <c r="U647" i="12"/>
  <c r="V647" i="12"/>
  <c r="N650" i="12"/>
  <c r="O650" i="12"/>
  <c r="P650" i="12"/>
  <c r="Q650" i="12"/>
  <c r="R650" i="12"/>
  <c r="S650" i="12"/>
  <c r="T650" i="12"/>
  <c r="U650" i="12"/>
  <c r="V650" i="12"/>
  <c r="N651" i="12"/>
  <c r="O651" i="12"/>
  <c r="P651" i="12"/>
  <c r="Q651" i="12"/>
  <c r="R651" i="12"/>
  <c r="S651" i="12"/>
  <c r="T651" i="12"/>
  <c r="U651" i="12"/>
  <c r="V651" i="12"/>
  <c r="N652" i="12"/>
  <c r="O652" i="12"/>
  <c r="P652" i="12"/>
  <c r="Q652" i="12"/>
  <c r="R652" i="12"/>
  <c r="S652" i="12"/>
  <c r="T652" i="12"/>
  <c r="U652" i="12"/>
  <c r="V652" i="12"/>
  <c r="N657" i="12"/>
  <c r="O657" i="12"/>
  <c r="P657" i="12"/>
  <c r="Q657" i="12"/>
  <c r="R657" i="12"/>
  <c r="S657" i="12"/>
  <c r="T657" i="12"/>
  <c r="U657" i="12"/>
  <c r="V657" i="12"/>
  <c r="N658" i="12"/>
  <c r="O658" i="12"/>
  <c r="P658" i="12"/>
  <c r="Q658" i="12"/>
  <c r="R658" i="12"/>
  <c r="S658" i="12"/>
  <c r="T658" i="12"/>
  <c r="U658" i="12"/>
  <c r="V658" i="12"/>
  <c r="N659" i="12"/>
  <c r="O659" i="12"/>
  <c r="P659" i="12"/>
  <c r="Q659" i="12"/>
  <c r="R659" i="12"/>
  <c r="S659" i="12"/>
  <c r="T659" i="12"/>
  <c r="U659" i="12"/>
  <c r="V659" i="12"/>
  <c r="M660" i="12"/>
  <c r="N660" i="12"/>
  <c r="O660" i="12"/>
  <c r="P660" i="12"/>
  <c r="Q660" i="12"/>
  <c r="R660" i="12"/>
  <c r="S660" i="12"/>
  <c r="T660" i="12"/>
  <c r="U660" i="12"/>
  <c r="V660" i="12"/>
  <c r="M661" i="12"/>
  <c r="N661" i="12"/>
  <c r="O661" i="12"/>
  <c r="P661" i="12"/>
  <c r="Q661" i="12"/>
  <c r="R661" i="12"/>
  <c r="S661" i="12"/>
  <c r="T661" i="12"/>
  <c r="U661" i="12"/>
  <c r="V661" i="12"/>
  <c r="N664" i="12"/>
  <c r="O664" i="12"/>
  <c r="P664" i="12"/>
  <c r="Q664" i="12"/>
  <c r="R664" i="12"/>
  <c r="S664" i="12"/>
  <c r="T664" i="12"/>
  <c r="U664" i="12"/>
  <c r="V664" i="12"/>
  <c r="N665" i="12"/>
  <c r="O665" i="12"/>
  <c r="P665" i="12"/>
  <c r="Q665" i="12"/>
  <c r="R665" i="12"/>
  <c r="S665" i="12"/>
  <c r="T665" i="12"/>
  <c r="U665" i="12"/>
  <c r="V665" i="12"/>
  <c r="N666" i="12"/>
  <c r="O666" i="12"/>
  <c r="P666" i="12"/>
  <c r="Q666" i="12"/>
  <c r="R666" i="12"/>
  <c r="S666" i="12"/>
  <c r="T666" i="12"/>
  <c r="U666" i="12"/>
  <c r="V666" i="12"/>
  <c r="N667" i="12"/>
  <c r="O667" i="12"/>
  <c r="P667" i="12"/>
  <c r="Q667" i="12"/>
  <c r="R667" i="12"/>
  <c r="S667" i="12"/>
  <c r="T667" i="12"/>
  <c r="U667" i="12"/>
  <c r="V667" i="12"/>
  <c r="M668" i="12"/>
  <c r="N668" i="12"/>
  <c r="O668" i="12"/>
  <c r="P668" i="12"/>
  <c r="Q668" i="12"/>
  <c r="R668" i="12"/>
  <c r="S668" i="12"/>
  <c r="T668" i="12"/>
  <c r="U668" i="12"/>
  <c r="V668" i="12"/>
  <c r="M669" i="12"/>
  <c r="N669" i="12"/>
  <c r="O669" i="12"/>
  <c r="P669" i="12"/>
  <c r="Q669" i="12"/>
  <c r="R669" i="12"/>
  <c r="S669" i="12"/>
  <c r="T669" i="12"/>
  <c r="U669" i="12"/>
  <c r="V669" i="12"/>
  <c r="M670" i="12"/>
  <c r="N670" i="12"/>
  <c r="O670" i="12"/>
  <c r="P670" i="12"/>
  <c r="Q670" i="12"/>
  <c r="R670" i="12"/>
  <c r="S670" i="12"/>
  <c r="T670" i="12"/>
  <c r="U670" i="12"/>
  <c r="V670" i="12"/>
  <c r="N673" i="12"/>
  <c r="O673" i="12"/>
  <c r="P673" i="12"/>
  <c r="Q673" i="12"/>
  <c r="R673" i="12"/>
  <c r="S673" i="12"/>
  <c r="T673" i="12"/>
  <c r="U673" i="12"/>
  <c r="V673" i="12"/>
  <c r="N674" i="12"/>
  <c r="O674" i="12"/>
  <c r="P674" i="12"/>
  <c r="Q674" i="12"/>
  <c r="R674" i="12"/>
  <c r="S674" i="12"/>
  <c r="T674" i="12"/>
  <c r="U674" i="12"/>
  <c r="V674" i="12"/>
  <c r="M675" i="12"/>
  <c r="N675" i="12"/>
  <c r="O675" i="12"/>
  <c r="P675" i="12"/>
  <c r="Q675" i="12"/>
  <c r="R675" i="12"/>
  <c r="S675" i="12"/>
  <c r="T675" i="12"/>
  <c r="U675" i="12"/>
  <c r="V675" i="12"/>
  <c r="M676" i="12"/>
  <c r="N676" i="12"/>
  <c r="O676" i="12"/>
  <c r="P676" i="12"/>
  <c r="Q676" i="12"/>
  <c r="R676" i="12"/>
  <c r="S676" i="12"/>
  <c r="T676" i="12"/>
  <c r="U676" i="12"/>
  <c r="V676" i="12"/>
  <c r="N679" i="12"/>
  <c r="O679" i="12"/>
  <c r="P679" i="12"/>
  <c r="Q679" i="12"/>
  <c r="R679" i="12"/>
  <c r="S679" i="12"/>
  <c r="T679" i="12"/>
  <c r="U679" i="12"/>
  <c r="V679" i="12"/>
  <c r="N680" i="12"/>
  <c r="O680" i="12"/>
  <c r="P680" i="12"/>
  <c r="Q680" i="12"/>
  <c r="R680" i="12"/>
  <c r="S680" i="12"/>
  <c r="T680" i="12"/>
  <c r="U680" i="12"/>
  <c r="V680" i="12"/>
  <c r="N681" i="12"/>
  <c r="O681" i="12"/>
  <c r="P681" i="12"/>
  <c r="Q681" i="12"/>
  <c r="R681" i="12"/>
  <c r="S681" i="12"/>
  <c r="T681" i="12"/>
  <c r="U681" i="12"/>
  <c r="V681" i="12"/>
  <c r="N686" i="12"/>
  <c r="O686" i="12"/>
  <c r="P686" i="12"/>
  <c r="Q686" i="12"/>
  <c r="R686" i="12"/>
  <c r="S686" i="12"/>
  <c r="T686" i="12"/>
  <c r="U686" i="12"/>
  <c r="V686" i="12"/>
  <c r="N687" i="12"/>
  <c r="O687" i="12"/>
  <c r="P687" i="12"/>
  <c r="Q687" i="12"/>
  <c r="R687" i="12"/>
  <c r="S687" i="12"/>
  <c r="T687" i="12"/>
  <c r="U687" i="12"/>
  <c r="V687" i="12"/>
  <c r="N688" i="12"/>
  <c r="O688" i="12"/>
  <c r="P688" i="12"/>
  <c r="Q688" i="12"/>
  <c r="R688" i="12"/>
  <c r="S688" i="12"/>
  <c r="T688" i="12"/>
  <c r="U688" i="12"/>
  <c r="V688" i="12"/>
  <c r="M689" i="12"/>
  <c r="N689" i="12"/>
  <c r="O689" i="12"/>
  <c r="P689" i="12"/>
  <c r="Q689" i="12"/>
  <c r="R689" i="12"/>
  <c r="S689" i="12"/>
  <c r="T689" i="12"/>
  <c r="U689" i="12"/>
  <c r="V689" i="12"/>
  <c r="M690" i="12"/>
  <c r="N690" i="12"/>
  <c r="O690" i="12"/>
  <c r="P690" i="12"/>
  <c r="Q690" i="12"/>
  <c r="R690" i="12"/>
  <c r="S690" i="12"/>
  <c r="T690" i="12"/>
  <c r="U690" i="12"/>
  <c r="V690" i="12"/>
  <c r="N693" i="12"/>
  <c r="O693" i="12"/>
  <c r="P693" i="12"/>
  <c r="Q693" i="12"/>
  <c r="R693" i="12"/>
  <c r="S693" i="12"/>
  <c r="T693" i="12"/>
  <c r="U693" i="12"/>
  <c r="V693" i="12"/>
  <c r="N694" i="12"/>
  <c r="O694" i="12"/>
  <c r="P694" i="12"/>
  <c r="Q694" i="12"/>
  <c r="R694" i="12"/>
  <c r="S694" i="12"/>
  <c r="T694" i="12"/>
  <c r="U694" i="12"/>
  <c r="V694" i="12"/>
  <c r="N695" i="12"/>
  <c r="O695" i="12"/>
  <c r="P695" i="12"/>
  <c r="Q695" i="12"/>
  <c r="R695" i="12"/>
  <c r="S695" i="12"/>
  <c r="T695" i="12"/>
  <c r="U695" i="12"/>
  <c r="V695" i="12"/>
  <c r="N696" i="12"/>
  <c r="O696" i="12"/>
  <c r="P696" i="12"/>
  <c r="Q696" i="12"/>
  <c r="R696" i="12"/>
  <c r="S696" i="12"/>
  <c r="T696" i="12"/>
  <c r="U696" i="12"/>
  <c r="V696" i="12"/>
  <c r="M697" i="12"/>
  <c r="N697" i="12"/>
  <c r="O697" i="12"/>
  <c r="P697" i="12"/>
  <c r="Q697" i="12"/>
  <c r="R697" i="12"/>
  <c r="S697" i="12"/>
  <c r="T697" i="12"/>
  <c r="U697" i="12"/>
  <c r="V697" i="12"/>
  <c r="M698" i="12"/>
  <c r="N698" i="12"/>
  <c r="O698" i="12"/>
  <c r="P698" i="12"/>
  <c r="Q698" i="12"/>
  <c r="R698" i="12"/>
  <c r="S698" i="12"/>
  <c r="T698" i="12"/>
  <c r="U698" i="12"/>
  <c r="V698" i="12"/>
  <c r="M699" i="12"/>
  <c r="N699" i="12"/>
  <c r="O699" i="12"/>
  <c r="P699" i="12"/>
  <c r="Q699" i="12"/>
  <c r="R699" i="12"/>
  <c r="S699" i="12"/>
  <c r="T699" i="12"/>
  <c r="U699" i="12"/>
  <c r="V699" i="12"/>
  <c r="N702" i="12"/>
  <c r="O702" i="12"/>
  <c r="P702" i="12"/>
  <c r="Q702" i="12"/>
  <c r="R702" i="12"/>
  <c r="S702" i="12"/>
  <c r="T702" i="12"/>
  <c r="U702" i="12"/>
  <c r="V702" i="12"/>
  <c r="N703" i="12"/>
  <c r="O703" i="12"/>
  <c r="P703" i="12"/>
  <c r="Q703" i="12"/>
  <c r="R703" i="12"/>
  <c r="S703" i="12"/>
  <c r="T703" i="12"/>
  <c r="U703" i="12"/>
  <c r="V703" i="12"/>
  <c r="M704" i="12"/>
  <c r="N704" i="12"/>
  <c r="O704" i="12"/>
  <c r="P704" i="12"/>
  <c r="Q704" i="12"/>
  <c r="R704" i="12"/>
  <c r="S704" i="12"/>
  <c r="T704" i="12"/>
  <c r="U704" i="12"/>
  <c r="V704" i="12"/>
  <c r="M705" i="12"/>
  <c r="N705" i="12"/>
  <c r="O705" i="12"/>
  <c r="P705" i="12"/>
  <c r="Q705" i="12"/>
  <c r="R705" i="12"/>
  <c r="S705" i="12"/>
  <c r="T705" i="12"/>
  <c r="U705" i="12"/>
  <c r="V705" i="12"/>
  <c r="N708" i="12"/>
  <c r="O708" i="12"/>
  <c r="P708" i="12"/>
  <c r="Q708" i="12"/>
  <c r="R708" i="12"/>
  <c r="S708" i="12"/>
  <c r="T708" i="12"/>
  <c r="U708" i="12"/>
  <c r="V708" i="12"/>
  <c r="N709" i="12"/>
  <c r="O709" i="12"/>
  <c r="P709" i="12"/>
  <c r="Q709" i="12"/>
  <c r="R709" i="12"/>
  <c r="S709" i="12"/>
  <c r="T709" i="12"/>
  <c r="U709" i="12"/>
  <c r="V709" i="12"/>
  <c r="N710" i="12"/>
  <c r="O710" i="12"/>
  <c r="P710" i="12"/>
  <c r="Q710" i="12"/>
  <c r="R710" i="12"/>
  <c r="S710" i="12"/>
  <c r="T710" i="12"/>
  <c r="U710" i="12"/>
  <c r="V710" i="12"/>
  <c r="N715" i="12"/>
  <c r="O715" i="12"/>
  <c r="P715" i="12"/>
  <c r="Q715" i="12"/>
  <c r="R715" i="12"/>
  <c r="S715" i="12"/>
  <c r="T715" i="12"/>
  <c r="U715" i="12"/>
  <c r="V715" i="12"/>
  <c r="N716" i="12"/>
  <c r="O716" i="12"/>
  <c r="P716" i="12"/>
  <c r="Q716" i="12"/>
  <c r="R716" i="12"/>
  <c r="S716" i="12"/>
  <c r="T716" i="12"/>
  <c r="U716" i="12"/>
  <c r="V716" i="12"/>
  <c r="N717" i="12"/>
  <c r="O717" i="12"/>
  <c r="P717" i="12"/>
  <c r="Q717" i="12"/>
  <c r="R717" i="12"/>
  <c r="S717" i="12"/>
  <c r="T717" i="12"/>
  <c r="U717" i="12"/>
  <c r="V717" i="12"/>
  <c r="M718" i="12"/>
  <c r="N718" i="12"/>
  <c r="O718" i="12"/>
  <c r="P718" i="12"/>
  <c r="Q718" i="12"/>
  <c r="R718" i="12"/>
  <c r="S718" i="12"/>
  <c r="T718" i="12"/>
  <c r="U718" i="12"/>
  <c r="V718" i="12"/>
  <c r="M719" i="12"/>
  <c r="N719" i="12"/>
  <c r="O719" i="12"/>
  <c r="P719" i="12"/>
  <c r="Q719" i="12"/>
  <c r="R719" i="12"/>
  <c r="S719" i="12"/>
  <c r="T719" i="12"/>
  <c r="U719" i="12"/>
  <c r="V719" i="12"/>
  <c r="N722" i="12"/>
  <c r="O722" i="12"/>
  <c r="P722" i="12"/>
  <c r="Q722" i="12"/>
  <c r="R722" i="12"/>
  <c r="S722" i="12"/>
  <c r="T722" i="12"/>
  <c r="U722" i="12"/>
  <c r="V722" i="12"/>
  <c r="N723" i="12"/>
  <c r="O723" i="12"/>
  <c r="P723" i="12"/>
  <c r="Q723" i="12"/>
  <c r="R723" i="12"/>
  <c r="S723" i="12"/>
  <c r="T723" i="12"/>
  <c r="U723" i="12"/>
  <c r="V723" i="12"/>
  <c r="N724" i="12"/>
  <c r="O724" i="12"/>
  <c r="P724" i="12"/>
  <c r="Q724" i="12"/>
  <c r="R724" i="12"/>
  <c r="S724" i="12"/>
  <c r="T724" i="12"/>
  <c r="U724" i="12"/>
  <c r="V724" i="12"/>
  <c r="N725" i="12"/>
  <c r="O725" i="12"/>
  <c r="P725" i="12"/>
  <c r="Q725" i="12"/>
  <c r="R725" i="12"/>
  <c r="S725" i="12"/>
  <c r="T725" i="12"/>
  <c r="U725" i="12"/>
  <c r="V725" i="12"/>
  <c r="M726" i="12"/>
  <c r="N726" i="12"/>
  <c r="O726" i="12"/>
  <c r="P726" i="12"/>
  <c r="Q726" i="12"/>
  <c r="R726" i="12"/>
  <c r="S726" i="12"/>
  <c r="T726" i="12"/>
  <c r="U726" i="12"/>
  <c r="V726" i="12"/>
  <c r="M727" i="12"/>
  <c r="N727" i="12"/>
  <c r="O727" i="12"/>
  <c r="P727" i="12"/>
  <c r="Q727" i="12"/>
  <c r="R727" i="12"/>
  <c r="S727" i="12"/>
  <c r="T727" i="12"/>
  <c r="U727" i="12"/>
  <c r="V727" i="12"/>
  <c r="M728" i="12"/>
  <c r="N728" i="12"/>
  <c r="O728" i="12"/>
  <c r="P728" i="12"/>
  <c r="Q728" i="12"/>
  <c r="R728" i="12"/>
  <c r="S728" i="12"/>
  <c r="T728" i="12"/>
  <c r="U728" i="12"/>
  <c r="V728" i="12"/>
  <c r="N731" i="12"/>
  <c r="O731" i="12"/>
  <c r="P731" i="12"/>
  <c r="Q731" i="12"/>
  <c r="R731" i="12"/>
  <c r="S731" i="12"/>
  <c r="T731" i="12"/>
  <c r="U731" i="12"/>
  <c r="V731" i="12"/>
  <c r="N732" i="12"/>
  <c r="O732" i="12"/>
  <c r="P732" i="12"/>
  <c r="Q732" i="12"/>
  <c r="R732" i="12"/>
  <c r="S732" i="12"/>
  <c r="T732" i="12"/>
  <c r="U732" i="12"/>
  <c r="V732" i="12"/>
  <c r="M733" i="12"/>
  <c r="N733" i="12"/>
  <c r="O733" i="12"/>
  <c r="P733" i="12"/>
  <c r="Q733" i="12"/>
  <c r="R733" i="12"/>
  <c r="S733" i="12"/>
  <c r="T733" i="12"/>
  <c r="U733" i="12"/>
  <c r="V733" i="12"/>
  <c r="M734" i="12"/>
  <c r="N734" i="12"/>
  <c r="O734" i="12"/>
  <c r="P734" i="12"/>
  <c r="Q734" i="12"/>
  <c r="R734" i="12"/>
  <c r="S734" i="12"/>
  <c r="T734" i="12"/>
  <c r="U734" i="12"/>
  <c r="V734" i="12"/>
  <c r="N737" i="12"/>
  <c r="O737" i="12"/>
  <c r="P737" i="12"/>
  <c r="Q737" i="12"/>
  <c r="R737" i="12"/>
  <c r="S737" i="12"/>
  <c r="T737" i="12"/>
  <c r="U737" i="12"/>
  <c r="V737" i="12"/>
  <c r="N738" i="12"/>
  <c r="O738" i="12"/>
  <c r="P738" i="12"/>
  <c r="Q738" i="12"/>
  <c r="R738" i="12"/>
  <c r="S738" i="12"/>
  <c r="T738" i="12"/>
  <c r="U738" i="12"/>
  <c r="V738" i="12"/>
  <c r="N739" i="12"/>
  <c r="O739" i="12"/>
  <c r="P739" i="12"/>
  <c r="Q739" i="12"/>
  <c r="R739" i="12"/>
  <c r="S739" i="12"/>
  <c r="T739" i="12"/>
  <c r="U739" i="12"/>
  <c r="V739" i="12"/>
  <c r="N744" i="12"/>
  <c r="O744" i="12"/>
  <c r="P744" i="12"/>
  <c r="Q744" i="12"/>
  <c r="R744" i="12"/>
  <c r="S744" i="12"/>
  <c r="T744" i="12"/>
  <c r="U744" i="12"/>
  <c r="V744" i="12"/>
  <c r="N745" i="12"/>
  <c r="O745" i="12"/>
  <c r="P745" i="12"/>
  <c r="Q745" i="12"/>
  <c r="R745" i="12"/>
  <c r="S745" i="12"/>
  <c r="T745" i="12"/>
  <c r="U745" i="12"/>
  <c r="V745" i="12"/>
  <c r="N746" i="12"/>
  <c r="O746" i="12"/>
  <c r="P746" i="12"/>
  <c r="Q746" i="12"/>
  <c r="R746" i="12"/>
  <c r="S746" i="12"/>
  <c r="T746" i="12"/>
  <c r="U746" i="12"/>
  <c r="V746" i="12"/>
  <c r="M747" i="12"/>
  <c r="N747" i="12"/>
  <c r="O747" i="12"/>
  <c r="P747" i="12"/>
  <c r="Q747" i="12"/>
  <c r="R747" i="12"/>
  <c r="S747" i="12"/>
  <c r="T747" i="12"/>
  <c r="U747" i="12"/>
  <c r="V747" i="12"/>
  <c r="M748" i="12"/>
  <c r="N748" i="12"/>
  <c r="O748" i="12"/>
  <c r="P748" i="12"/>
  <c r="Q748" i="12"/>
  <c r="R748" i="12"/>
  <c r="S748" i="12"/>
  <c r="T748" i="12"/>
  <c r="U748" i="12"/>
  <c r="V748" i="12"/>
  <c r="N751" i="12"/>
  <c r="O751" i="12"/>
  <c r="P751" i="12"/>
  <c r="Q751" i="12"/>
  <c r="R751" i="12"/>
  <c r="S751" i="12"/>
  <c r="T751" i="12"/>
  <c r="U751" i="12"/>
  <c r="V751" i="12"/>
  <c r="N752" i="12"/>
  <c r="O752" i="12"/>
  <c r="P752" i="12"/>
  <c r="Q752" i="12"/>
  <c r="R752" i="12"/>
  <c r="S752" i="12"/>
  <c r="T752" i="12"/>
  <c r="U752" i="12"/>
  <c r="V752" i="12"/>
  <c r="N753" i="12"/>
  <c r="O753" i="12"/>
  <c r="P753" i="12"/>
  <c r="Q753" i="12"/>
  <c r="R753" i="12"/>
  <c r="S753" i="12"/>
  <c r="T753" i="12"/>
  <c r="U753" i="12"/>
  <c r="V753" i="12"/>
  <c r="N754" i="12"/>
  <c r="O754" i="12"/>
  <c r="P754" i="12"/>
  <c r="Q754" i="12"/>
  <c r="R754" i="12"/>
  <c r="S754" i="12"/>
  <c r="T754" i="12"/>
  <c r="U754" i="12"/>
  <c r="V754" i="12"/>
  <c r="M755" i="12"/>
  <c r="N755" i="12"/>
  <c r="O755" i="12"/>
  <c r="P755" i="12"/>
  <c r="Q755" i="12"/>
  <c r="R755" i="12"/>
  <c r="S755" i="12"/>
  <c r="T755" i="12"/>
  <c r="U755" i="12"/>
  <c r="V755" i="12"/>
  <c r="M756" i="12"/>
  <c r="N756" i="12"/>
  <c r="O756" i="12"/>
  <c r="P756" i="12"/>
  <c r="Q756" i="12"/>
  <c r="R756" i="12"/>
  <c r="S756" i="12"/>
  <c r="T756" i="12"/>
  <c r="U756" i="12"/>
  <c r="V756" i="12"/>
  <c r="M757" i="12"/>
  <c r="N757" i="12"/>
  <c r="O757" i="12"/>
  <c r="P757" i="12"/>
  <c r="Q757" i="12"/>
  <c r="R757" i="12"/>
  <c r="S757" i="12"/>
  <c r="T757" i="12"/>
  <c r="U757" i="12"/>
  <c r="V757" i="12"/>
  <c r="N760" i="12"/>
  <c r="O760" i="12"/>
  <c r="P760" i="12"/>
  <c r="Q760" i="12"/>
  <c r="R760" i="12"/>
  <c r="S760" i="12"/>
  <c r="T760" i="12"/>
  <c r="U760" i="12"/>
  <c r="V760" i="12"/>
  <c r="N761" i="12"/>
  <c r="O761" i="12"/>
  <c r="P761" i="12"/>
  <c r="Q761" i="12"/>
  <c r="R761" i="12"/>
  <c r="S761" i="12"/>
  <c r="T761" i="12"/>
  <c r="U761" i="12"/>
  <c r="V761" i="12"/>
  <c r="M762" i="12"/>
  <c r="N762" i="12"/>
  <c r="O762" i="12"/>
  <c r="P762" i="12"/>
  <c r="Q762" i="12"/>
  <c r="R762" i="12"/>
  <c r="S762" i="12"/>
  <c r="T762" i="12"/>
  <c r="U762" i="12"/>
  <c r="V762" i="12"/>
  <c r="M763" i="12"/>
  <c r="N763" i="12"/>
  <c r="O763" i="12"/>
  <c r="P763" i="12"/>
  <c r="Q763" i="12"/>
  <c r="R763" i="12"/>
  <c r="S763" i="12"/>
  <c r="T763" i="12"/>
  <c r="U763" i="12"/>
  <c r="V763" i="12"/>
  <c r="N766" i="12"/>
  <c r="O766" i="12"/>
  <c r="P766" i="12"/>
  <c r="Q766" i="12"/>
  <c r="R766" i="12"/>
  <c r="S766" i="12"/>
  <c r="T766" i="12"/>
  <c r="U766" i="12"/>
  <c r="V766" i="12"/>
  <c r="N767" i="12"/>
  <c r="O767" i="12"/>
  <c r="P767" i="12"/>
  <c r="Q767" i="12"/>
  <c r="R767" i="12"/>
  <c r="S767" i="12"/>
  <c r="T767" i="12"/>
  <c r="U767" i="12"/>
  <c r="V767" i="12"/>
  <c r="N768" i="12"/>
  <c r="O768" i="12"/>
  <c r="P768" i="12"/>
  <c r="Q768" i="12"/>
  <c r="R768" i="12"/>
  <c r="S768" i="12"/>
  <c r="T768" i="12"/>
  <c r="U768" i="12"/>
  <c r="V768" i="12"/>
  <c r="N773" i="12"/>
  <c r="O773" i="12"/>
  <c r="P773" i="12"/>
  <c r="Q773" i="12"/>
  <c r="R773" i="12"/>
  <c r="S773" i="12"/>
  <c r="T773" i="12"/>
  <c r="U773" i="12"/>
  <c r="V773" i="12"/>
  <c r="N774" i="12"/>
  <c r="O774" i="12"/>
  <c r="P774" i="12"/>
  <c r="Q774" i="12"/>
  <c r="R774" i="12"/>
  <c r="S774" i="12"/>
  <c r="T774" i="12"/>
  <c r="U774" i="12"/>
  <c r="V774" i="12"/>
  <c r="N775" i="12"/>
  <c r="O775" i="12"/>
  <c r="P775" i="12"/>
  <c r="Q775" i="12"/>
  <c r="R775" i="12"/>
  <c r="S775" i="12"/>
  <c r="T775" i="12"/>
  <c r="U775" i="12"/>
  <c r="V775" i="12"/>
  <c r="M776" i="12"/>
  <c r="N776" i="12"/>
  <c r="O776" i="12"/>
  <c r="P776" i="12"/>
  <c r="Q776" i="12"/>
  <c r="R776" i="12"/>
  <c r="S776" i="12"/>
  <c r="T776" i="12"/>
  <c r="U776" i="12"/>
  <c r="V776" i="12"/>
  <c r="M777" i="12"/>
  <c r="N777" i="12"/>
  <c r="O777" i="12"/>
  <c r="P777" i="12"/>
  <c r="Q777" i="12"/>
  <c r="R777" i="12"/>
  <c r="S777" i="12"/>
  <c r="T777" i="12"/>
  <c r="U777" i="12"/>
  <c r="V777" i="12"/>
  <c r="N780" i="12"/>
  <c r="O780" i="12"/>
  <c r="P780" i="12"/>
  <c r="Q780" i="12"/>
  <c r="R780" i="12"/>
  <c r="S780" i="12"/>
  <c r="T780" i="12"/>
  <c r="U780" i="12"/>
  <c r="V780" i="12"/>
  <c r="N781" i="12"/>
  <c r="O781" i="12"/>
  <c r="P781" i="12"/>
  <c r="Q781" i="12"/>
  <c r="R781" i="12"/>
  <c r="S781" i="12"/>
  <c r="T781" i="12"/>
  <c r="U781" i="12"/>
  <c r="V781" i="12"/>
  <c r="N782" i="12"/>
  <c r="O782" i="12"/>
  <c r="P782" i="12"/>
  <c r="Q782" i="12"/>
  <c r="R782" i="12"/>
  <c r="S782" i="12"/>
  <c r="T782" i="12"/>
  <c r="U782" i="12"/>
  <c r="V782" i="12"/>
  <c r="N783" i="12"/>
  <c r="O783" i="12"/>
  <c r="P783" i="12"/>
  <c r="Q783" i="12"/>
  <c r="R783" i="12"/>
  <c r="S783" i="12"/>
  <c r="T783" i="12"/>
  <c r="U783" i="12"/>
  <c r="V783" i="12"/>
  <c r="M784" i="12"/>
  <c r="N784" i="12"/>
  <c r="O784" i="12"/>
  <c r="P784" i="12"/>
  <c r="Q784" i="12"/>
  <c r="R784" i="12"/>
  <c r="S784" i="12"/>
  <c r="T784" i="12"/>
  <c r="U784" i="12"/>
  <c r="V784" i="12"/>
  <c r="M785" i="12"/>
  <c r="N785" i="12"/>
  <c r="O785" i="12"/>
  <c r="P785" i="12"/>
  <c r="Q785" i="12"/>
  <c r="R785" i="12"/>
  <c r="S785" i="12"/>
  <c r="T785" i="12"/>
  <c r="U785" i="12"/>
  <c r="V785" i="12"/>
  <c r="M786" i="12"/>
  <c r="N786" i="12"/>
  <c r="O786" i="12"/>
  <c r="P786" i="12"/>
  <c r="Q786" i="12"/>
  <c r="R786" i="12"/>
  <c r="S786" i="12"/>
  <c r="T786" i="12"/>
  <c r="U786" i="12"/>
  <c r="V786" i="12"/>
  <c r="N789" i="12"/>
  <c r="O789" i="12"/>
  <c r="P789" i="12"/>
  <c r="Q789" i="12"/>
  <c r="R789" i="12"/>
  <c r="S789" i="12"/>
  <c r="T789" i="12"/>
  <c r="U789" i="12"/>
  <c r="V789" i="12"/>
  <c r="N790" i="12"/>
  <c r="O790" i="12"/>
  <c r="P790" i="12"/>
  <c r="Q790" i="12"/>
  <c r="R790" i="12"/>
  <c r="S790" i="12"/>
  <c r="T790" i="12"/>
  <c r="U790" i="12"/>
  <c r="V790" i="12"/>
  <c r="M791" i="12"/>
  <c r="N791" i="12"/>
  <c r="O791" i="12"/>
  <c r="P791" i="12"/>
  <c r="Q791" i="12"/>
  <c r="R791" i="12"/>
  <c r="S791" i="12"/>
  <c r="T791" i="12"/>
  <c r="U791" i="12"/>
  <c r="V791" i="12"/>
  <c r="M792" i="12"/>
  <c r="N792" i="12"/>
  <c r="O792" i="12"/>
  <c r="P792" i="12"/>
  <c r="Q792" i="12"/>
  <c r="R792" i="12"/>
  <c r="S792" i="12"/>
  <c r="T792" i="12"/>
  <c r="U792" i="12"/>
  <c r="V792" i="12"/>
  <c r="N795" i="12"/>
  <c r="O795" i="12"/>
  <c r="P795" i="12"/>
  <c r="Q795" i="12"/>
  <c r="R795" i="12"/>
  <c r="S795" i="12"/>
  <c r="T795" i="12"/>
  <c r="U795" i="12"/>
  <c r="V795" i="12"/>
  <c r="N796" i="12"/>
  <c r="O796" i="12"/>
  <c r="P796" i="12"/>
  <c r="Q796" i="12"/>
  <c r="R796" i="12"/>
  <c r="S796" i="12"/>
  <c r="T796" i="12"/>
  <c r="U796" i="12"/>
  <c r="V796" i="12"/>
  <c r="N797" i="12"/>
  <c r="O797" i="12"/>
  <c r="P797" i="12"/>
  <c r="Q797" i="12"/>
  <c r="R797" i="12"/>
  <c r="S797" i="12"/>
  <c r="T797" i="12"/>
  <c r="U797" i="12"/>
  <c r="V797" i="12"/>
  <c r="N802" i="12"/>
  <c r="O802" i="12"/>
  <c r="P802" i="12"/>
  <c r="Q802" i="12"/>
  <c r="R802" i="12"/>
  <c r="S802" i="12"/>
  <c r="T802" i="12"/>
  <c r="U802" i="12"/>
  <c r="V802" i="12"/>
  <c r="N803" i="12"/>
  <c r="O803" i="12"/>
  <c r="P803" i="12"/>
  <c r="Q803" i="12"/>
  <c r="R803" i="12"/>
  <c r="S803" i="12"/>
  <c r="T803" i="12"/>
  <c r="U803" i="12"/>
  <c r="V803" i="12"/>
  <c r="N804" i="12"/>
  <c r="O804" i="12"/>
  <c r="P804" i="12"/>
  <c r="Q804" i="12"/>
  <c r="R804" i="12"/>
  <c r="S804" i="12"/>
  <c r="T804" i="12"/>
  <c r="U804" i="12"/>
  <c r="V804" i="12"/>
  <c r="M805" i="12"/>
  <c r="N805" i="12"/>
  <c r="O805" i="12"/>
  <c r="P805" i="12"/>
  <c r="Q805" i="12"/>
  <c r="R805" i="12"/>
  <c r="S805" i="12"/>
  <c r="T805" i="12"/>
  <c r="U805" i="12"/>
  <c r="V805" i="12"/>
  <c r="M806" i="12"/>
  <c r="N806" i="12"/>
  <c r="O806" i="12"/>
  <c r="P806" i="12"/>
  <c r="Q806" i="12"/>
  <c r="R806" i="12"/>
  <c r="S806" i="12"/>
  <c r="T806" i="12"/>
  <c r="U806" i="12"/>
  <c r="V806" i="12"/>
  <c r="N809" i="12"/>
  <c r="O809" i="12"/>
  <c r="P809" i="12"/>
  <c r="Q809" i="12"/>
  <c r="R809" i="12"/>
  <c r="S809" i="12"/>
  <c r="T809" i="12"/>
  <c r="U809" i="12"/>
  <c r="V809" i="12"/>
  <c r="N810" i="12"/>
  <c r="O810" i="12"/>
  <c r="P810" i="12"/>
  <c r="Q810" i="12"/>
  <c r="R810" i="12"/>
  <c r="S810" i="12"/>
  <c r="T810" i="12"/>
  <c r="U810" i="12"/>
  <c r="V810" i="12"/>
  <c r="N811" i="12"/>
  <c r="O811" i="12"/>
  <c r="P811" i="12"/>
  <c r="Q811" i="12"/>
  <c r="R811" i="12"/>
  <c r="S811" i="12"/>
  <c r="T811" i="12"/>
  <c r="U811" i="12"/>
  <c r="V811" i="12"/>
  <c r="N812" i="12"/>
  <c r="O812" i="12"/>
  <c r="P812" i="12"/>
  <c r="Q812" i="12"/>
  <c r="R812" i="12"/>
  <c r="S812" i="12"/>
  <c r="T812" i="12"/>
  <c r="U812" i="12"/>
  <c r="V812" i="12"/>
  <c r="M813" i="12"/>
  <c r="N813" i="12"/>
  <c r="O813" i="12"/>
  <c r="P813" i="12"/>
  <c r="Q813" i="12"/>
  <c r="R813" i="12"/>
  <c r="S813" i="12"/>
  <c r="T813" i="12"/>
  <c r="U813" i="12"/>
  <c r="V813" i="12"/>
  <c r="M814" i="12"/>
  <c r="N814" i="12"/>
  <c r="O814" i="12"/>
  <c r="P814" i="12"/>
  <c r="Q814" i="12"/>
  <c r="R814" i="12"/>
  <c r="S814" i="12"/>
  <c r="T814" i="12"/>
  <c r="U814" i="12"/>
  <c r="V814" i="12"/>
  <c r="M815" i="12"/>
  <c r="N815" i="12"/>
  <c r="O815" i="12"/>
  <c r="P815" i="12"/>
  <c r="Q815" i="12"/>
  <c r="R815" i="12"/>
  <c r="S815" i="12"/>
  <c r="T815" i="12"/>
  <c r="U815" i="12"/>
  <c r="V815" i="12"/>
  <c r="N818" i="12"/>
  <c r="O818" i="12"/>
  <c r="P818" i="12"/>
  <c r="Q818" i="12"/>
  <c r="R818" i="12"/>
  <c r="S818" i="12"/>
  <c r="T818" i="12"/>
  <c r="U818" i="12"/>
  <c r="V818" i="12"/>
  <c r="N819" i="12"/>
  <c r="O819" i="12"/>
  <c r="P819" i="12"/>
  <c r="Q819" i="12"/>
  <c r="R819" i="12"/>
  <c r="S819" i="12"/>
  <c r="T819" i="12"/>
  <c r="U819" i="12"/>
  <c r="V819" i="12"/>
  <c r="M820" i="12"/>
  <c r="N820" i="12"/>
  <c r="O820" i="12"/>
  <c r="P820" i="12"/>
  <c r="Q820" i="12"/>
  <c r="R820" i="12"/>
  <c r="S820" i="12"/>
  <c r="T820" i="12"/>
  <c r="U820" i="12"/>
  <c r="V820" i="12"/>
  <c r="M821" i="12"/>
  <c r="N821" i="12"/>
  <c r="O821" i="12"/>
  <c r="P821" i="12"/>
  <c r="Q821" i="12"/>
  <c r="R821" i="12"/>
  <c r="S821" i="12"/>
  <c r="T821" i="12"/>
  <c r="U821" i="12"/>
  <c r="V821" i="12"/>
  <c r="N824" i="12"/>
  <c r="O824" i="12"/>
  <c r="P824" i="12"/>
  <c r="Q824" i="12"/>
  <c r="R824" i="12"/>
  <c r="S824" i="12"/>
  <c r="T824" i="12"/>
  <c r="U824" i="12"/>
  <c r="V824" i="12"/>
  <c r="N825" i="12"/>
  <c r="O825" i="12"/>
  <c r="P825" i="12"/>
  <c r="Q825" i="12"/>
  <c r="R825" i="12"/>
  <c r="S825" i="12"/>
  <c r="T825" i="12"/>
  <c r="U825" i="12"/>
  <c r="V825" i="12"/>
  <c r="N826" i="12"/>
  <c r="O826" i="12"/>
  <c r="P826" i="12"/>
  <c r="Q826" i="12"/>
  <c r="R826" i="12"/>
  <c r="S826" i="12"/>
  <c r="T826" i="12"/>
  <c r="U826" i="12"/>
  <c r="V826" i="12"/>
  <c r="N831" i="12"/>
  <c r="O831" i="12"/>
  <c r="P831" i="12"/>
  <c r="Q831" i="12"/>
  <c r="R831" i="12"/>
  <c r="S831" i="12"/>
  <c r="T831" i="12"/>
  <c r="U831" i="12"/>
  <c r="V831" i="12"/>
  <c r="M832" i="12"/>
  <c r="N832" i="12"/>
  <c r="O832" i="12"/>
  <c r="P832" i="12"/>
  <c r="Q832" i="12"/>
  <c r="R832" i="12"/>
  <c r="S832" i="12"/>
  <c r="T832" i="12"/>
  <c r="U832" i="12"/>
  <c r="V832" i="12"/>
  <c r="V837" i="12"/>
  <c r="N876" i="12"/>
  <c r="O876" i="12"/>
  <c r="P876" i="12"/>
  <c r="Q876" i="12"/>
  <c r="R876" i="12"/>
  <c r="S876" i="12"/>
  <c r="T876" i="12"/>
  <c r="U876" i="12"/>
  <c r="V876" i="12"/>
  <c r="N878" i="12"/>
  <c r="O878" i="12"/>
  <c r="P878" i="12"/>
  <c r="Q878" i="12"/>
  <c r="R878" i="12"/>
  <c r="S878" i="12"/>
  <c r="T878" i="12"/>
  <c r="U878" i="12"/>
  <c r="V878" i="12"/>
  <c r="N879" i="12"/>
  <c r="O879" i="12"/>
  <c r="P879" i="12"/>
  <c r="Q879" i="12"/>
  <c r="R879" i="12"/>
  <c r="S879" i="12"/>
  <c r="T879" i="12"/>
  <c r="U879" i="12"/>
  <c r="V879" i="12"/>
  <c r="N880" i="12"/>
  <c r="O880" i="12"/>
  <c r="P880" i="12"/>
  <c r="Q880" i="12"/>
  <c r="R880" i="12"/>
  <c r="S880" i="12"/>
  <c r="T880" i="12"/>
  <c r="U880" i="12"/>
  <c r="V880" i="12"/>
  <c r="N881" i="12"/>
  <c r="O881" i="12"/>
  <c r="P881" i="12"/>
  <c r="Q881" i="12"/>
  <c r="R881" i="12"/>
  <c r="S881" i="12"/>
  <c r="T881" i="12"/>
  <c r="U881" i="12"/>
  <c r="V881" i="12"/>
  <c r="N882" i="12"/>
  <c r="O882" i="12"/>
  <c r="P882" i="12"/>
  <c r="Q882" i="12"/>
  <c r="R882" i="12"/>
  <c r="S882" i="12"/>
  <c r="T882" i="12"/>
  <c r="U882" i="12"/>
  <c r="V882" i="12"/>
  <c r="N883" i="12"/>
  <c r="O883" i="12"/>
  <c r="P883" i="12"/>
  <c r="Q883" i="12"/>
  <c r="R883" i="12"/>
  <c r="S883" i="12"/>
  <c r="T883" i="12"/>
  <c r="U883" i="12"/>
  <c r="V883" i="12"/>
  <c r="N884" i="12"/>
  <c r="O884" i="12"/>
  <c r="P884" i="12"/>
  <c r="Q884" i="12"/>
  <c r="R884" i="12"/>
  <c r="S884" i="12"/>
  <c r="T884" i="12"/>
  <c r="U884" i="12"/>
  <c r="V884" i="12"/>
  <c r="N885" i="12"/>
  <c r="O885" i="12"/>
  <c r="P885" i="12"/>
  <c r="Q885" i="12"/>
  <c r="R885" i="12"/>
  <c r="S885" i="12"/>
  <c r="T885" i="12"/>
  <c r="U885" i="12"/>
  <c r="V885" i="12"/>
  <c r="N886" i="12"/>
  <c r="O886" i="12"/>
  <c r="P886" i="12"/>
  <c r="Q886" i="12"/>
  <c r="R886" i="12"/>
  <c r="S886" i="12"/>
  <c r="T886" i="12"/>
  <c r="U886" i="12"/>
  <c r="V886" i="12"/>
  <c r="N887" i="12"/>
  <c r="O887" i="12"/>
  <c r="P887" i="12"/>
  <c r="Q887" i="12"/>
  <c r="R887" i="12"/>
  <c r="S887" i="12"/>
  <c r="T887" i="12"/>
  <c r="U887" i="12"/>
  <c r="V887" i="12"/>
  <c r="N888" i="12"/>
  <c r="O888" i="12"/>
  <c r="P888" i="12"/>
  <c r="Q888" i="12"/>
  <c r="R888" i="12"/>
  <c r="S888" i="12"/>
  <c r="T888" i="12"/>
  <c r="U888" i="12"/>
  <c r="V888" i="12"/>
  <c r="N889" i="12"/>
  <c r="O889" i="12"/>
  <c r="P889" i="12"/>
  <c r="Q889" i="12"/>
  <c r="R889" i="12"/>
  <c r="S889" i="12"/>
  <c r="T889" i="12"/>
  <c r="U889" i="12"/>
  <c r="V889" i="12"/>
  <c r="N891" i="12"/>
  <c r="O891" i="12"/>
  <c r="P891" i="12"/>
  <c r="Q891" i="12"/>
  <c r="R891" i="12"/>
  <c r="S891" i="12"/>
  <c r="T891" i="12"/>
  <c r="U891" i="12"/>
  <c r="V891" i="12"/>
  <c r="N892" i="12"/>
  <c r="O892" i="12"/>
  <c r="P892" i="12"/>
  <c r="Q892" i="12"/>
  <c r="R892" i="12"/>
  <c r="S892" i="12"/>
  <c r="T892" i="12"/>
  <c r="U892" i="12"/>
  <c r="V892" i="12"/>
  <c r="N893" i="12"/>
  <c r="O893" i="12"/>
  <c r="P893" i="12"/>
  <c r="Q893" i="12"/>
  <c r="R893" i="12"/>
  <c r="S893" i="12"/>
  <c r="T893" i="12"/>
  <c r="U893" i="12"/>
  <c r="V893" i="12"/>
  <c r="N894" i="12"/>
  <c r="O894" i="12"/>
  <c r="P894" i="12"/>
  <c r="Q894" i="12"/>
  <c r="R894" i="12"/>
  <c r="S894" i="12"/>
  <c r="T894" i="12"/>
  <c r="U894" i="12"/>
  <c r="V894" i="12"/>
  <c r="V899" i="12"/>
  <c r="V920" i="12"/>
  <c r="V964" i="12"/>
  <c r="V987" i="12"/>
  <c r="N1004" i="12"/>
  <c r="O1004" i="12"/>
  <c r="P1004" i="12"/>
  <c r="Q1004" i="12"/>
  <c r="R1004" i="12"/>
  <c r="S1004" i="12"/>
  <c r="T1004" i="12"/>
  <c r="U1004" i="12"/>
  <c r="V1004" i="12"/>
  <c r="M1007" i="12"/>
  <c r="N1007" i="12"/>
  <c r="O1007" i="12"/>
  <c r="P1007" i="12"/>
  <c r="Q1007" i="12"/>
  <c r="R1007" i="12"/>
  <c r="S1007" i="12"/>
  <c r="T1007" i="12"/>
  <c r="U1007" i="12"/>
  <c r="V1007" i="12"/>
  <c r="M1008" i="12"/>
  <c r="N1008" i="12"/>
  <c r="O1008" i="12"/>
  <c r="P1008" i="12"/>
  <c r="Q1008" i="12"/>
  <c r="R1008" i="12"/>
  <c r="S1008" i="12"/>
  <c r="T1008" i="12"/>
  <c r="U1008" i="12"/>
  <c r="V1008" i="12"/>
  <c r="M1009" i="12"/>
  <c r="N1009" i="12"/>
  <c r="O1009" i="12"/>
  <c r="P1009" i="12"/>
  <c r="Q1009" i="12"/>
  <c r="R1009" i="12"/>
  <c r="S1009" i="12"/>
  <c r="T1009" i="12"/>
  <c r="U1009" i="12"/>
  <c r="V1009" i="12"/>
  <c r="M1010" i="12"/>
  <c r="N1010" i="12"/>
  <c r="O1010" i="12"/>
  <c r="P1010" i="12"/>
  <c r="Q1010" i="12"/>
  <c r="R1010" i="12"/>
  <c r="S1010" i="12"/>
  <c r="T1010" i="12"/>
  <c r="U1010" i="12"/>
  <c r="V1010" i="12"/>
  <c r="M1011" i="12"/>
  <c r="N1011" i="12"/>
  <c r="O1011" i="12"/>
  <c r="P1011" i="12"/>
  <c r="Q1011" i="12"/>
  <c r="R1011" i="12"/>
  <c r="S1011" i="12"/>
  <c r="T1011" i="12"/>
  <c r="U1011" i="12"/>
  <c r="V1011" i="12"/>
  <c r="M1012" i="12"/>
  <c r="N1012" i="12"/>
  <c r="O1012" i="12"/>
  <c r="P1012" i="12"/>
  <c r="Q1012" i="12"/>
  <c r="R1012" i="12"/>
  <c r="S1012" i="12"/>
  <c r="T1012" i="12"/>
  <c r="U1012" i="12"/>
  <c r="V1012" i="12"/>
  <c r="M1014" i="12"/>
  <c r="N1014" i="12"/>
  <c r="O1014" i="12"/>
  <c r="P1014" i="12"/>
  <c r="Q1014" i="12"/>
  <c r="R1014" i="12"/>
  <c r="S1014" i="12"/>
  <c r="T1014" i="12"/>
  <c r="U1014" i="12"/>
  <c r="V1014" i="12"/>
  <c r="M1015" i="12"/>
  <c r="N1015" i="12"/>
  <c r="O1015" i="12"/>
  <c r="P1015" i="12"/>
  <c r="Q1015" i="12"/>
  <c r="R1015" i="12"/>
  <c r="S1015" i="12"/>
  <c r="T1015" i="12"/>
  <c r="U1015" i="12"/>
  <c r="V1015" i="12"/>
  <c r="M1016" i="12"/>
  <c r="N1016" i="12"/>
  <c r="O1016" i="12"/>
  <c r="P1016" i="12"/>
  <c r="Q1016" i="12"/>
  <c r="R1016" i="12"/>
  <c r="S1016" i="12"/>
  <c r="T1016" i="12"/>
  <c r="U1016" i="12"/>
  <c r="V1016" i="12"/>
  <c r="M1017" i="12"/>
  <c r="N1017" i="12"/>
  <c r="O1017" i="12"/>
  <c r="P1017" i="12"/>
  <c r="Q1017" i="12"/>
  <c r="R1017" i="12"/>
  <c r="S1017" i="12"/>
  <c r="T1017" i="12"/>
  <c r="U1017" i="12"/>
  <c r="V1017" i="12"/>
  <c r="M1018" i="12"/>
  <c r="N1018" i="12"/>
  <c r="O1018" i="12"/>
  <c r="P1018" i="12"/>
  <c r="Q1018" i="12"/>
  <c r="R1018" i="12"/>
  <c r="S1018" i="12"/>
  <c r="T1018" i="12"/>
  <c r="U1018" i="12"/>
  <c r="V1018" i="12"/>
  <c r="N1020" i="12"/>
  <c r="O1020" i="12"/>
  <c r="P1020" i="12"/>
  <c r="Q1020" i="12"/>
  <c r="R1020" i="12"/>
  <c r="S1020" i="12"/>
  <c r="T1020" i="12"/>
  <c r="U1020" i="12"/>
  <c r="V1020" i="12"/>
  <c r="M1021" i="12"/>
  <c r="N1021" i="12"/>
  <c r="O1021" i="12"/>
  <c r="P1021" i="12"/>
  <c r="Q1021" i="12"/>
  <c r="R1021" i="12"/>
  <c r="S1021" i="12"/>
  <c r="T1021" i="12"/>
  <c r="U1021" i="12"/>
  <c r="V1021" i="12"/>
  <c r="M1022" i="12"/>
  <c r="N1022" i="12"/>
  <c r="O1022" i="12"/>
  <c r="P1022" i="12"/>
  <c r="Q1022" i="12"/>
  <c r="R1022" i="12"/>
  <c r="S1022" i="12"/>
  <c r="T1022" i="12"/>
  <c r="U1022" i="12"/>
  <c r="V1022" i="12"/>
  <c r="N1030" i="12"/>
  <c r="O1030" i="12"/>
  <c r="P1030" i="12"/>
  <c r="Q1030" i="12"/>
  <c r="R1030" i="12"/>
  <c r="S1030" i="12"/>
  <c r="T1030" i="12"/>
  <c r="U1030" i="12"/>
  <c r="V1030" i="12"/>
  <c r="M1031" i="12"/>
  <c r="N1031" i="12"/>
  <c r="O1031" i="12"/>
  <c r="P1031" i="12"/>
  <c r="Q1031" i="12"/>
  <c r="R1031" i="12"/>
  <c r="S1031" i="12"/>
  <c r="T1031" i="12"/>
  <c r="U1031" i="12"/>
  <c r="V1031" i="12"/>
  <c r="M1033" i="12"/>
  <c r="N1033" i="12"/>
  <c r="O1033" i="12"/>
  <c r="P1033" i="12"/>
  <c r="Q1033" i="12"/>
  <c r="R1033" i="12"/>
  <c r="S1033" i="12"/>
  <c r="T1033" i="12"/>
  <c r="U1033" i="12"/>
  <c r="V1033" i="12"/>
  <c r="N1036" i="12"/>
  <c r="O1036" i="12"/>
  <c r="P1036" i="12"/>
  <c r="Q1036" i="12"/>
  <c r="R1036" i="12"/>
  <c r="S1036" i="12"/>
  <c r="T1036" i="12"/>
  <c r="U1036" i="12"/>
  <c r="V1036" i="12"/>
  <c r="M1037" i="12"/>
  <c r="N1037" i="12"/>
  <c r="O1037" i="12"/>
  <c r="P1037" i="12"/>
  <c r="Q1037" i="12"/>
  <c r="R1037" i="12"/>
  <c r="S1037" i="12"/>
  <c r="T1037" i="12"/>
  <c r="U1037" i="12"/>
  <c r="V1037" i="12"/>
  <c r="M1038" i="12"/>
  <c r="N1038" i="12"/>
  <c r="O1038" i="12"/>
  <c r="P1038" i="12"/>
  <c r="Q1038" i="12"/>
  <c r="R1038" i="12"/>
  <c r="S1038" i="12"/>
  <c r="T1038" i="12"/>
  <c r="U1038" i="12"/>
  <c r="V1038" i="12"/>
  <c r="M1039" i="12"/>
  <c r="N1039" i="12"/>
  <c r="O1039" i="12"/>
  <c r="P1039" i="12"/>
  <c r="Q1039" i="12"/>
  <c r="R1039" i="12"/>
  <c r="S1039" i="12"/>
  <c r="T1039" i="12"/>
  <c r="U1039" i="12"/>
  <c r="V1039" i="12"/>
  <c r="N1043" i="12"/>
  <c r="O1043" i="12"/>
  <c r="P1043" i="12"/>
  <c r="Q1043" i="12"/>
  <c r="R1043" i="12"/>
  <c r="S1043" i="12"/>
  <c r="T1043" i="12"/>
  <c r="U1043" i="12"/>
  <c r="V1043" i="12"/>
  <c r="M1044" i="12"/>
  <c r="N1044" i="12"/>
  <c r="O1044" i="12"/>
  <c r="P1044" i="12"/>
  <c r="Q1044" i="12"/>
  <c r="R1044" i="12"/>
  <c r="S1044" i="12"/>
  <c r="T1044" i="12"/>
  <c r="U1044" i="12"/>
  <c r="V1044" i="12"/>
  <c r="M1045" i="12"/>
  <c r="N1045" i="12"/>
  <c r="O1045" i="12"/>
  <c r="P1045" i="12"/>
  <c r="Q1045" i="12"/>
  <c r="R1045" i="12"/>
  <c r="S1045" i="12"/>
  <c r="T1045" i="12"/>
  <c r="U1045" i="12"/>
  <c r="V1045" i="12"/>
  <c r="M1047" i="12"/>
  <c r="N1047" i="12"/>
  <c r="O1047" i="12"/>
  <c r="P1047" i="12"/>
  <c r="Q1047" i="12"/>
  <c r="R1047" i="12"/>
  <c r="S1047" i="12"/>
  <c r="T1047" i="12"/>
  <c r="U1047" i="12"/>
  <c r="V1047" i="12"/>
  <c r="N1051" i="12"/>
  <c r="O1051" i="12"/>
  <c r="P1051" i="12"/>
  <c r="Q1051" i="12"/>
  <c r="R1051" i="12"/>
  <c r="S1051" i="12"/>
  <c r="T1051" i="12"/>
  <c r="U1051" i="12"/>
  <c r="V1051" i="12"/>
  <c r="M1052" i="12"/>
  <c r="N1052" i="12"/>
  <c r="O1052" i="12"/>
  <c r="P1052" i="12"/>
  <c r="Q1052" i="12"/>
  <c r="R1052" i="12"/>
  <c r="S1052" i="12"/>
  <c r="T1052" i="12"/>
  <c r="U1052" i="12"/>
  <c r="V1052" i="12"/>
  <c r="M1053" i="12"/>
  <c r="N1053" i="12"/>
  <c r="O1053" i="12"/>
  <c r="P1053" i="12"/>
  <c r="Q1053" i="12"/>
  <c r="R1053" i="12"/>
  <c r="S1053" i="12"/>
  <c r="T1053" i="12"/>
  <c r="U1053" i="12"/>
  <c r="V1053" i="12"/>
  <c r="M1061" i="12"/>
  <c r="N1061" i="12"/>
  <c r="O1061" i="12"/>
  <c r="P1061" i="12"/>
  <c r="Q1061" i="12"/>
  <c r="R1061" i="12"/>
  <c r="S1061" i="12"/>
  <c r="T1061" i="12"/>
  <c r="U1061" i="12"/>
  <c r="V1061" i="12"/>
  <c r="M1062" i="12"/>
  <c r="N1062" i="12"/>
  <c r="O1062" i="12"/>
  <c r="P1062" i="12"/>
  <c r="Q1062" i="12"/>
  <c r="R1062" i="12"/>
  <c r="S1062" i="12"/>
  <c r="T1062" i="12"/>
  <c r="U1062" i="12"/>
  <c r="V1062" i="12"/>
  <c r="M1064" i="12"/>
  <c r="N1064" i="12"/>
  <c r="O1064" i="12"/>
  <c r="P1064" i="12"/>
  <c r="Q1064" i="12"/>
  <c r="R1064" i="12"/>
  <c r="S1064" i="12"/>
  <c r="T1064" i="12"/>
  <c r="U1064" i="12"/>
  <c r="V1064" i="12"/>
  <c r="M1065" i="12"/>
  <c r="N1065" i="12"/>
  <c r="O1065" i="12"/>
  <c r="P1065" i="12"/>
  <c r="Q1065" i="12"/>
  <c r="R1065" i="12"/>
  <c r="S1065" i="12"/>
  <c r="T1065" i="12"/>
  <c r="U1065" i="12"/>
  <c r="V1065" i="12"/>
  <c r="M1066" i="12"/>
  <c r="N1066" i="12"/>
  <c r="O1066" i="12"/>
  <c r="P1066" i="12"/>
  <c r="Q1066" i="12"/>
  <c r="R1066" i="12"/>
  <c r="S1066" i="12"/>
  <c r="T1066" i="12"/>
  <c r="U1066" i="12"/>
  <c r="V1066" i="12"/>
  <c r="M1067" i="12"/>
  <c r="N1067" i="12"/>
  <c r="O1067" i="12"/>
  <c r="P1067" i="12"/>
  <c r="Q1067" i="12"/>
  <c r="R1067" i="12"/>
  <c r="S1067" i="12"/>
  <c r="T1067" i="12"/>
  <c r="U1067" i="12"/>
  <c r="V1067" i="12"/>
  <c r="N1070" i="12"/>
  <c r="O1070" i="12"/>
  <c r="P1070" i="12"/>
  <c r="Q1070" i="12"/>
  <c r="R1070" i="12"/>
  <c r="S1070" i="12"/>
  <c r="T1070" i="12"/>
  <c r="U1070" i="12"/>
  <c r="V1070" i="12"/>
  <c r="M1071" i="12"/>
  <c r="N1071" i="12"/>
  <c r="O1071" i="12"/>
  <c r="P1071" i="12"/>
  <c r="Q1071" i="12"/>
  <c r="R1071" i="12"/>
  <c r="S1071" i="12"/>
  <c r="T1071" i="12"/>
  <c r="U1071" i="12"/>
  <c r="V1071" i="12"/>
  <c r="M1072" i="12"/>
  <c r="N1072" i="12"/>
  <c r="O1072" i="12"/>
  <c r="P1072" i="12"/>
  <c r="Q1072" i="12"/>
  <c r="R1072" i="12"/>
  <c r="S1072" i="12"/>
  <c r="T1072" i="12"/>
  <c r="U1072" i="12"/>
  <c r="V1072" i="12"/>
  <c r="M1073" i="12"/>
  <c r="N1073" i="12"/>
  <c r="O1073" i="12"/>
  <c r="P1073" i="12"/>
  <c r="Q1073" i="12"/>
  <c r="R1073" i="12"/>
  <c r="S1073" i="12"/>
  <c r="T1073" i="12"/>
  <c r="U1073" i="12"/>
  <c r="V1073" i="12"/>
  <c r="M1107" i="12"/>
  <c r="N1107" i="12"/>
  <c r="O1107" i="12"/>
  <c r="P1107" i="12"/>
  <c r="Q1107" i="12"/>
  <c r="R1107" i="12"/>
  <c r="S1107" i="12"/>
  <c r="T1107" i="12"/>
  <c r="U1107" i="12"/>
  <c r="V1107" i="12"/>
  <c r="M1108" i="12"/>
  <c r="N1108" i="12"/>
  <c r="O1108" i="12"/>
  <c r="P1108" i="12"/>
  <c r="Q1108" i="12"/>
  <c r="R1108" i="12"/>
  <c r="S1108" i="12"/>
  <c r="T1108" i="12"/>
  <c r="U1108" i="12"/>
  <c r="V1108" i="12"/>
  <c r="M1109" i="12"/>
  <c r="N1109" i="12"/>
  <c r="O1109" i="12"/>
  <c r="P1109" i="12"/>
  <c r="Q1109" i="12"/>
  <c r="R1109" i="12"/>
  <c r="S1109" i="12"/>
  <c r="T1109" i="12"/>
  <c r="U1109" i="12"/>
  <c r="V1109" i="12"/>
  <c r="M1110" i="12"/>
  <c r="N1110" i="12"/>
  <c r="O1110" i="12"/>
  <c r="P1110" i="12"/>
  <c r="Q1110" i="12"/>
  <c r="R1110" i="12"/>
  <c r="S1110" i="12"/>
  <c r="T1110" i="12"/>
  <c r="U1110" i="12"/>
  <c r="V1110" i="12"/>
  <c r="M1111" i="12"/>
  <c r="N1111" i="12"/>
  <c r="O1111" i="12"/>
  <c r="P1111" i="12"/>
  <c r="Q1111" i="12"/>
  <c r="R1111" i="12"/>
  <c r="S1111" i="12"/>
  <c r="T1111" i="12"/>
  <c r="U1111" i="12"/>
  <c r="V1111" i="12"/>
  <c r="M1112" i="12"/>
  <c r="N1112" i="12"/>
  <c r="O1112" i="12"/>
  <c r="P1112" i="12"/>
  <c r="Q1112" i="12"/>
  <c r="R1112" i="12"/>
  <c r="S1112" i="12"/>
  <c r="T1112" i="12"/>
  <c r="U1112" i="12"/>
  <c r="V1112" i="12"/>
  <c r="M1113" i="12"/>
  <c r="N1113" i="12"/>
  <c r="O1113" i="12"/>
  <c r="P1113" i="12"/>
  <c r="Q1113" i="12"/>
  <c r="R1113" i="12"/>
  <c r="S1113" i="12"/>
  <c r="T1113" i="12"/>
  <c r="U1113" i="12"/>
  <c r="V1113" i="12"/>
  <c r="M1114" i="12"/>
  <c r="N1114" i="12"/>
  <c r="O1114" i="12"/>
  <c r="P1114" i="12"/>
  <c r="Q1114" i="12"/>
  <c r="R1114" i="12"/>
  <c r="S1114" i="12"/>
  <c r="T1114" i="12"/>
  <c r="U1114" i="12"/>
  <c r="V1114" i="12"/>
  <c r="M1115" i="12"/>
  <c r="N1115" i="12"/>
  <c r="O1115" i="12"/>
  <c r="P1115" i="12"/>
  <c r="Q1115" i="12"/>
  <c r="R1115" i="12"/>
  <c r="S1115" i="12"/>
  <c r="T1115" i="12"/>
  <c r="U1115" i="12"/>
  <c r="V1115" i="12"/>
  <c r="M1116" i="12"/>
  <c r="N1116" i="12"/>
  <c r="O1116" i="12"/>
  <c r="P1116" i="12"/>
  <c r="Q1116" i="12"/>
  <c r="R1116" i="12"/>
  <c r="S1116" i="12"/>
  <c r="T1116" i="12"/>
  <c r="U1116" i="12"/>
  <c r="V1116" i="12"/>
  <c r="M1117" i="12"/>
  <c r="N1117" i="12"/>
  <c r="O1117" i="12"/>
  <c r="P1117" i="12"/>
  <c r="Q1117" i="12"/>
  <c r="R1117" i="12"/>
  <c r="S1117" i="12"/>
  <c r="T1117" i="12"/>
  <c r="U1117" i="12"/>
  <c r="V1117" i="12"/>
  <c r="M1120" i="12"/>
  <c r="N1120" i="12"/>
  <c r="O1120" i="12"/>
  <c r="P1120" i="12"/>
  <c r="Q1120" i="12"/>
  <c r="R1120" i="12"/>
  <c r="S1120" i="12"/>
  <c r="T1120" i="12"/>
  <c r="U1120" i="12"/>
  <c r="V1120" i="12"/>
  <c r="M1121" i="12"/>
  <c r="N1121" i="12"/>
  <c r="O1121" i="12"/>
  <c r="P1121" i="12"/>
  <c r="Q1121" i="12"/>
  <c r="R1121" i="12"/>
  <c r="S1121" i="12"/>
  <c r="T1121" i="12"/>
  <c r="U1121" i="12"/>
  <c r="V1121" i="12"/>
  <c r="M1122" i="12"/>
  <c r="N1122" i="12"/>
  <c r="O1122" i="12"/>
  <c r="P1122" i="12"/>
  <c r="Q1122" i="12"/>
  <c r="R1122" i="12"/>
  <c r="S1122" i="12"/>
  <c r="T1122" i="12"/>
  <c r="U1122" i="12"/>
  <c r="V1122" i="12"/>
  <c r="M1123" i="12"/>
  <c r="N1123" i="12"/>
  <c r="O1123" i="12"/>
  <c r="P1123" i="12"/>
  <c r="Q1123" i="12"/>
  <c r="R1123" i="12"/>
  <c r="S1123" i="12"/>
  <c r="T1123" i="12"/>
  <c r="U1123" i="12"/>
  <c r="V1123" i="12"/>
  <c r="M1124" i="12"/>
  <c r="N1124" i="12"/>
  <c r="O1124" i="12"/>
  <c r="P1124" i="12"/>
  <c r="Q1124" i="12"/>
  <c r="R1124" i="12"/>
  <c r="S1124" i="12"/>
  <c r="T1124" i="12"/>
  <c r="U1124" i="12"/>
  <c r="V1124" i="12"/>
  <c r="M1125" i="12"/>
  <c r="N1125" i="12"/>
  <c r="O1125" i="12"/>
  <c r="P1125" i="12"/>
  <c r="Q1125" i="12"/>
  <c r="R1125" i="12"/>
  <c r="S1125" i="12"/>
  <c r="T1125" i="12"/>
  <c r="U1125" i="12"/>
  <c r="V1125" i="12"/>
  <c r="M1126" i="12"/>
  <c r="N1126" i="12"/>
  <c r="O1126" i="12"/>
  <c r="P1126" i="12"/>
  <c r="Q1126" i="12"/>
  <c r="R1126" i="12"/>
  <c r="S1126" i="12"/>
  <c r="T1126" i="12"/>
  <c r="U1126" i="12"/>
  <c r="V1126" i="12"/>
  <c r="M1127" i="12"/>
  <c r="N1127" i="12"/>
  <c r="O1127" i="12"/>
  <c r="P1127" i="12"/>
  <c r="Q1127" i="12"/>
  <c r="R1127" i="12"/>
  <c r="S1127" i="12"/>
  <c r="T1127" i="12"/>
  <c r="U1127" i="12"/>
  <c r="V1127" i="12"/>
  <c r="M1128" i="12"/>
  <c r="N1128" i="12"/>
  <c r="O1128" i="12"/>
  <c r="P1128" i="12"/>
  <c r="Q1128" i="12"/>
  <c r="R1128" i="12"/>
  <c r="S1128" i="12"/>
  <c r="T1128" i="12"/>
  <c r="U1128" i="12"/>
  <c r="V1128" i="12"/>
  <c r="M1129" i="12"/>
  <c r="N1129" i="12"/>
  <c r="O1129" i="12"/>
  <c r="P1129" i="12"/>
  <c r="Q1129" i="12"/>
  <c r="R1129" i="12"/>
  <c r="S1129" i="12"/>
  <c r="T1129" i="12"/>
  <c r="U1129" i="12"/>
  <c r="V1129" i="12"/>
  <c r="M1130" i="12"/>
  <c r="N1130" i="12"/>
  <c r="O1130" i="12"/>
  <c r="P1130" i="12"/>
  <c r="Q1130" i="12"/>
  <c r="R1130" i="12"/>
  <c r="S1130" i="12"/>
  <c r="T1130" i="12"/>
  <c r="U1130" i="12"/>
  <c r="V1130" i="12"/>
  <c r="M1133" i="12"/>
  <c r="N1133" i="12"/>
  <c r="O1133" i="12"/>
  <c r="P1133" i="12"/>
  <c r="Q1133" i="12"/>
  <c r="R1133" i="12"/>
  <c r="S1133" i="12"/>
  <c r="T1133" i="12"/>
  <c r="U1133" i="12"/>
  <c r="V1133" i="12"/>
  <c r="M1134" i="12"/>
  <c r="N1134" i="12"/>
  <c r="O1134" i="12"/>
  <c r="P1134" i="12"/>
  <c r="Q1134" i="12"/>
  <c r="R1134" i="12"/>
  <c r="S1134" i="12"/>
  <c r="T1134" i="12"/>
  <c r="U1134" i="12"/>
  <c r="V1134" i="12"/>
  <c r="M1135" i="12"/>
  <c r="N1135" i="12"/>
  <c r="O1135" i="12"/>
  <c r="P1135" i="12"/>
  <c r="Q1135" i="12"/>
  <c r="R1135" i="12"/>
  <c r="S1135" i="12"/>
  <c r="T1135" i="12"/>
  <c r="U1135" i="12"/>
  <c r="V1135" i="12"/>
  <c r="M1136" i="12"/>
  <c r="N1136" i="12"/>
  <c r="O1136" i="12"/>
  <c r="P1136" i="12"/>
  <c r="Q1136" i="12"/>
  <c r="R1136" i="12"/>
  <c r="S1136" i="12"/>
  <c r="T1136" i="12"/>
  <c r="U1136" i="12"/>
  <c r="V1136" i="12"/>
  <c r="M1137" i="12"/>
  <c r="N1137" i="12"/>
  <c r="O1137" i="12"/>
  <c r="P1137" i="12"/>
  <c r="Q1137" i="12"/>
  <c r="R1137" i="12"/>
  <c r="S1137" i="12"/>
  <c r="T1137" i="12"/>
  <c r="U1137" i="12"/>
  <c r="V1137" i="12"/>
  <c r="M1138" i="12"/>
  <c r="N1138" i="12"/>
  <c r="O1138" i="12"/>
  <c r="P1138" i="12"/>
  <c r="Q1138" i="12"/>
  <c r="R1138" i="12"/>
  <c r="S1138" i="12"/>
  <c r="T1138" i="12"/>
  <c r="U1138" i="12"/>
  <c r="V1138" i="12"/>
  <c r="M1139" i="12"/>
  <c r="N1139" i="12"/>
  <c r="O1139" i="12"/>
  <c r="P1139" i="12"/>
  <c r="Q1139" i="12"/>
  <c r="R1139" i="12"/>
  <c r="S1139" i="12"/>
  <c r="T1139" i="12"/>
  <c r="U1139" i="12"/>
  <c r="V1139" i="12"/>
  <c r="M1140" i="12"/>
  <c r="N1140" i="12"/>
  <c r="O1140" i="12"/>
  <c r="P1140" i="12"/>
  <c r="Q1140" i="12"/>
  <c r="R1140" i="12"/>
  <c r="S1140" i="12"/>
  <c r="T1140" i="12"/>
  <c r="U1140" i="12"/>
  <c r="V1140" i="12"/>
  <c r="M1141" i="12"/>
  <c r="N1141" i="12"/>
  <c r="O1141" i="12"/>
  <c r="P1141" i="12"/>
  <c r="Q1141" i="12"/>
  <c r="R1141" i="12"/>
  <c r="S1141" i="12"/>
  <c r="T1141" i="12"/>
  <c r="U1141" i="12"/>
  <c r="V1141" i="12"/>
  <c r="M1142" i="12"/>
  <c r="N1142" i="12"/>
  <c r="O1142" i="12"/>
  <c r="P1142" i="12"/>
  <c r="Q1142" i="12"/>
  <c r="R1142" i="12"/>
  <c r="S1142" i="12"/>
  <c r="T1142" i="12"/>
  <c r="U1142" i="12"/>
  <c r="V1142" i="12"/>
  <c r="M1143" i="12"/>
  <c r="N1143" i="12"/>
  <c r="O1143" i="12"/>
  <c r="P1143" i="12"/>
  <c r="Q1143" i="12"/>
  <c r="R1143" i="12"/>
  <c r="S1143" i="12"/>
  <c r="T1143" i="12"/>
  <c r="U1143" i="12"/>
  <c r="V1143" i="12"/>
  <c r="M1145" i="12"/>
  <c r="N1145" i="12"/>
  <c r="O1145" i="12"/>
  <c r="P1145" i="12"/>
  <c r="Q1145" i="12"/>
  <c r="R1145" i="12"/>
  <c r="S1145" i="12"/>
  <c r="T1145" i="12"/>
  <c r="U1145" i="12"/>
  <c r="V1145" i="12"/>
  <c r="M1148" i="12"/>
  <c r="N1148" i="12"/>
  <c r="O1148" i="12"/>
  <c r="P1148" i="12"/>
  <c r="Q1148" i="12"/>
  <c r="R1148" i="12"/>
  <c r="S1148" i="12"/>
  <c r="T1148" i="12"/>
  <c r="U1148" i="12"/>
  <c r="V1148" i="12"/>
  <c r="M1149" i="12"/>
  <c r="N1149" i="12"/>
  <c r="O1149" i="12"/>
  <c r="P1149" i="12"/>
  <c r="Q1149" i="12"/>
  <c r="R1149" i="12"/>
  <c r="S1149" i="12"/>
  <c r="T1149" i="12"/>
  <c r="U1149" i="12"/>
  <c r="V1149" i="12"/>
  <c r="M1150" i="12"/>
  <c r="N1150" i="12"/>
  <c r="O1150" i="12"/>
  <c r="P1150" i="12"/>
  <c r="Q1150" i="12"/>
  <c r="R1150" i="12"/>
  <c r="S1150" i="12"/>
  <c r="T1150" i="12"/>
  <c r="U1150" i="12"/>
  <c r="V1150" i="12"/>
  <c r="M1151" i="12"/>
  <c r="N1151" i="12"/>
  <c r="O1151" i="12"/>
  <c r="P1151" i="12"/>
  <c r="Q1151" i="12"/>
  <c r="R1151" i="12"/>
  <c r="S1151" i="12"/>
  <c r="T1151" i="12"/>
  <c r="U1151" i="12"/>
  <c r="V1151" i="12"/>
  <c r="M1152" i="12"/>
  <c r="N1152" i="12"/>
  <c r="O1152" i="12"/>
  <c r="P1152" i="12"/>
  <c r="Q1152" i="12"/>
  <c r="R1152" i="12"/>
  <c r="S1152" i="12"/>
  <c r="T1152" i="12"/>
  <c r="U1152" i="12"/>
  <c r="V1152" i="12"/>
  <c r="M1153" i="12"/>
  <c r="N1153" i="12"/>
  <c r="O1153" i="12"/>
  <c r="P1153" i="12"/>
  <c r="Q1153" i="12"/>
  <c r="R1153" i="12"/>
  <c r="S1153" i="12"/>
  <c r="T1153" i="12"/>
  <c r="U1153" i="12"/>
  <c r="V1153" i="12"/>
  <c r="M1154" i="12"/>
  <c r="N1154" i="12"/>
  <c r="O1154" i="12"/>
  <c r="P1154" i="12"/>
  <c r="Q1154" i="12"/>
  <c r="R1154" i="12"/>
  <c r="S1154" i="12"/>
  <c r="T1154" i="12"/>
  <c r="U1154" i="12"/>
  <c r="V1154" i="12"/>
  <c r="M1155" i="12"/>
  <c r="N1155" i="12"/>
  <c r="O1155" i="12"/>
  <c r="P1155" i="12"/>
  <c r="Q1155" i="12"/>
  <c r="R1155" i="12"/>
  <c r="S1155" i="12"/>
  <c r="T1155" i="12"/>
  <c r="U1155" i="12"/>
  <c r="V1155" i="12"/>
  <c r="M1156" i="12"/>
  <c r="N1156" i="12"/>
  <c r="O1156" i="12"/>
  <c r="P1156" i="12"/>
  <c r="Q1156" i="12"/>
  <c r="R1156" i="12"/>
  <c r="S1156" i="12"/>
  <c r="T1156" i="12"/>
  <c r="U1156" i="12"/>
  <c r="V1156" i="12"/>
  <c r="M1157" i="12"/>
  <c r="N1157" i="12"/>
  <c r="O1157" i="12"/>
  <c r="P1157" i="12"/>
  <c r="Q1157" i="12"/>
  <c r="R1157" i="12"/>
  <c r="S1157" i="12"/>
  <c r="T1157" i="12"/>
  <c r="U1157" i="12"/>
  <c r="V1157" i="12"/>
  <c r="M1158" i="12"/>
  <c r="N1158" i="12"/>
  <c r="O1158" i="12"/>
  <c r="P1158" i="12"/>
  <c r="Q1158" i="12"/>
  <c r="R1158" i="12"/>
  <c r="S1158" i="12"/>
  <c r="T1158" i="12"/>
  <c r="U1158" i="12"/>
  <c r="V1158" i="12"/>
  <c r="M1164" i="12"/>
  <c r="N1164" i="12"/>
  <c r="O1164" i="12"/>
  <c r="P1164" i="12"/>
  <c r="Q1164" i="12"/>
  <c r="R1164" i="12"/>
  <c r="S1164" i="12"/>
  <c r="T1164" i="12"/>
  <c r="U1164" i="12"/>
  <c r="V1164" i="12"/>
  <c r="M1165" i="12"/>
  <c r="N1165" i="12"/>
  <c r="O1165" i="12"/>
  <c r="P1165" i="12"/>
  <c r="Q1165" i="12"/>
  <c r="R1165" i="12"/>
  <c r="S1165" i="12"/>
  <c r="T1165" i="12"/>
  <c r="U1165" i="12"/>
  <c r="V1165" i="12"/>
  <c r="V1170" i="12"/>
  <c r="V1241" i="12"/>
  <c r="J1264" i="12"/>
  <c r="K1264" i="12"/>
  <c r="J1266" i="12"/>
  <c r="K1266" i="12"/>
  <c r="H1267" i="12"/>
  <c r="I1267" i="12"/>
  <c r="J1267" i="12"/>
  <c r="K1267" i="12"/>
  <c r="H1268" i="12"/>
  <c r="I1268" i="12"/>
  <c r="J1268" i="12"/>
  <c r="K1268" i="12"/>
  <c r="H1273" i="12"/>
  <c r="I1273" i="12"/>
  <c r="J1273" i="12"/>
  <c r="K1273" i="12"/>
  <c r="H1274" i="12"/>
  <c r="I1274" i="12"/>
  <c r="H1276" i="12"/>
  <c r="I1276" i="12"/>
  <c r="J1276" i="12"/>
  <c r="K1276" i="12"/>
  <c r="H1285" i="12"/>
  <c r="I1285" i="12"/>
  <c r="J1285" i="12"/>
  <c r="K1285" i="12"/>
  <c r="H1287" i="12"/>
  <c r="I1287" i="12"/>
  <c r="J1287" i="12"/>
  <c r="K1287" i="12"/>
  <c r="V1386" i="12"/>
  <c r="M1403" i="12"/>
  <c r="N1403" i="12"/>
  <c r="O1403" i="12"/>
  <c r="P1403" i="12"/>
  <c r="Q1403" i="12"/>
  <c r="R1403" i="12"/>
  <c r="S1403" i="12"/>
  <c r="T1403" i="12"/>
  <c r="U1403" i="12"/>
  <c r="V1403" i="12"/>
  <c r="M1404" i="12"/>
  <c r="N1404" i="12"/>
  <c r="O1404" i="12"/>
  <c r="P1404" i="12"/>
  <c r="Q1404" i="12"/>
  <c r="R1404" i="12"/>
  <c r="S1404" i="12"/>
  <c r="T1404" i="12"/>
  <c r="U1404" i="12"/>
  <c r="V1404" i="12"/>
  <c r="M1409" i="12"/>
  <c r="N1409" i="12"/>
  <c r="O1409" i="12"/>
  <c r="P1409" i="12"/>
  <c r="Q1409" i="12"/>
  <c r="L1411" i="12"/>
  <c r="L1412" i="12"/>
  <c r="Q1414" i="12"/>
  <c r="M1415" i="12"/>
  <c r="N1415" i="12"/>
  <c r="O1415" i="12"/>
  <c r="P1415" i="12"/>
  <c r="Q1415" i="12"/>
  <c r="L1417" i="12"/>
  <c r="L1418" i="12"/>
  <c r="D1427" i="12"/>
  <c r="E1427" i="12"/>
  <c r="F1427" i="12"/>
  <c r="H1427" i="12"/>
  <c r="I1427" i="12"/>
  <c r="J1427" i="12"/>
  <c r="D1428" i="12"/>
  <c r="E1428" i="12"/>
  <c r="F1428" i="12"/>
  <c r="H1428" i="12"/>
  <c r="I1428" i="12"/>
  <c r="J1428" i="12"/>
  <c r="D1429" i="12"/>
  <c r="E1429" i="12"/>
  <c r="F1429" i="12"/>
  <c r="H1429" i="12"/>
  <c r="I1429" i="12"/>
  <c r="J1429" i="12"/>
  <c r="D1434" i="12"/>
  <c r="E1434" i="12"/>
  <c r="F1434" i="12"/>
  <c r="H1434" i="12"/>
  <c r="I1434" i="12"/>
  <c r="J1434" i="12"/>
  <c r="D1435" i="12"/>
  <c r="E1435" i="12"/>
  <c r="F1435" i="12"/>
  <c r="H1435" i="12"/>
  <c r="I1435" i="12"/>
  <c r="J1435" i="12"/>
  <c r="D1436" i="12"/>
  <c r="E1436" i="12"/>
  <c r="F1436" i="12"/>
  <c r="H1436" i="12"/>
  <c r="I1436" i="12"/>
  <c r="J1436" i="12"/>
  <c r="D1445" i="12"/>
  <c r="E1445" i="12"/>
  <c r="F1445" i="12"/>
  <c r="H1445" i="12"/>
  <c r="I1445" i="12"/>
  <c r="J1445" i="12"/>
  <c r="D1446" i="12"/>
  <c r="E1446" i="12"/>
  <c r="F1446" i="12"/>
  <c r="H1446" i="12"/>
  <c r="I1446" i="12"/>
  <c r="J1446" i="12"/>
  <c r="D1447" i="12"/>
  <c r="E1447" i="12"/>
  <c r="F1447" i="12"/>
  <c r="H1447" i="12"/>
  <c r="I1447" i="12"/>
  <c r="J1447" i="12"/>
  <c r="D1452" i="12"/>
  <c r="E1452" i="12"/>
  <c r="F1452" i="12"/>
  <c r="H1452" i="12"/>
  <c r="I1452" i="12"/>
  <c r="J1452" i="12"/>
  <c r="D1453" i="12"/>
  <c r="E1453" i="12"/>
  <c r="F1453" i="12"/>
  <c r="H1453" i="12"/>
  <c r="I1453" i="12"/>
  <c r="J1453" i="12"/>
  <c r="D1454" i="12"/>
  <c r="E1454" i="12"/>
  <c r="F1454" i="12"/>
  <c r="H1454" i="12"/>
  <c r="I1454" i="12"/>
  <c r="J1454" i="12"/>
  <c r="V1459" i="12"/>
  <c r="V1494" i="12"/>
  <c r="M1528" i="12"/>
  <c r="N1528" i="12"/>
  <c r="O1528" i="12"/>
  <c r="P1528" i="12"/>
  <c r="Q1528" i="12"/>
  <c r="R1528" i="12"/>
  <c r="S1528" i="12"/>
  <c r="T1528" i="12"/>
  <c r="U1528" i="12"/>
  <c r="V1528" i="12"/>
  <c r="M1529" i="12"/>
  <c r="N1529" i="12"/>
  <c r="O1529" i="12"/>
  <c r="P1529" i="12"/>
  <c r="Q1529" i="12"/>
  <c r="R1529" i="12"/>
  <c r="S1529" i="12"/>
  <c r="T1529" i="12"/>
  <c r="U1529" i="12"/>
  <c r="V1529" i="12"/>
  <c r="M1532" i="12"/>
  <c r="N1532" i="12"/>
  <c r="O1532" i="12"/>
  <c r="P1532" i="12"/>
  <c r="Q1532" i="12"/>
  <c r="R1532" i="12"/>
  <c r="S1532" i="12"/>
  <c r="T1532" i="12"/>
  <c r="U1532" i="12"/>
  <c r="V1532" i="12"/>
  <c r="M1534" i="12"/>
  <c r="N1534" i="12"/>
  <c r="O1534" i="12"/>
  <c r="P1534" i="12"/>
  <c r="Q1534" i="12"/>
  <c r="R1534" i="12"/>
  <c r="S1534" i="12"/>
  <c r="T1534" i="12"/>
  <c r="U1534" i="12"/>
  <c r="V1534" i="12"/>
  <c r="M1537" i="12"/>
  <c r="N1537" i="12"/>
  <c r="O1537" i="12"/>
  <c r="P1537" i="12"/>
  <c r="Q1537" i="12"/>
  <c r="R1537" i="12"/>
  <c r="S1537" i="12"/>
  <c r="T1537" i="12"/>
  <c r="U1537" i="12"/>
  <c r="V1537" i="12"/>
  <c r="M1539" i="12"/>
  <c r="N1539" i="12"/>
  <c r="O1539" i="12"/>
  <c r="P1539" i="12"/>
  <c r="Q1539" i="12"/>
  <c r="R1539" i="12"/>
  <c r="S1539" i="12"/>
  <c r="T1539" i="12"/>
  <c r="U1539" i="12"/>
  <c r="V1539" i="12"/>
  <c r="M1541" i="12"/>
  <c r="N1541" i="12"/>
  <c r="O1541" i="12"/>
  <c r="P1541" i="12"/>
  <c r="Q1541" i="12"/>
  <c r="R1541" i="12"/>
  <c r="S1541" i="12"/>
  <c r="T1541" i="12"/>
  <c r="U1541" i="12"/>
  <c r="V1541" i="12"/>
  <c r="N1560" i="12"/>
  <c r="O1560" i="12"/>
  <c r="P1560" i="12"/>
  <c r="Q1560" i="12"/>
  <c r="R1560" i="12"/>
  <c r="S1560" i="12"/>
  <c r="T1560" i="12"/>
  <c r="U1560" i="12"/>
  <c r="V1560" i="12"/>
  <c r="M1561" i="12"/>
  <c r="N1561" i="12"/>
  <c r="O1561" i="12"/>
  <c r="P1561" i="12"/>
  <c r="Q1561" i="12"/>
  <c r="R1561" i="12"/>
  <c r="S1561" i="12"/>
  <c r="T1561" i="12"/>
  <c r="U1561" i="12"/>
  <c r="V1561" i="12"/>
  <c r="M1562" i="12"/>
  <c r="N1562" i="12"/>
  <c r="O1562" i="12"/>
  <c r="P1562" i="12"/>
  <c r="Q1562" i="12"/>
  <c r="R1562" i="12"/>
  <c r="S1562" i="12"/>
  <c r="T1562" i="12"/>
  <c r="U1562" i="12"/>
  <c r="V1562" i="12"/>
  <c r="M1563" i="12"/>
  <c r="N1563" i="12"/>
  <c r="O1563" i="12"/>
  <c r="P1563" i="12"/>
  <c r="Q1563" i="12"/>
  <c r="R1563" i="12"/>
  <c r="S1563" i="12"/>
  <c r="T1563" i="12"/>
  <c r="U1563" i="12"/>
  <c r="V1563" i="12"/>
  <c r="M1564" i="12"/>
  <c r="N1564" i="12"/>
  <c r="O1564" i="12"/>
  <c r="P1564" i="12"/>
  <c r="Q1564" i="12"/>
  <c r="R1564" i="12"/>
  <c r="S1564" i="12"/>
  <c r="T1564" i="12"/>
  <c r="U1564" i="12"/>
  <c r="V1564" i="12"/>
  <c r="M1565" i="12"/>
  <c r="N1565" i="12"/>
  <c r="O1565" i="12"/>
  <c r="P1565" i="12"/>
  <c r="Q1565" i="12"/>
  <c r="R1565" i="12"/>
  <c r="S1565" i="12"/>
  <c r="T1565" i="12"/>
  <c r="U1565" i="12"/>
  <c r="V1565" i="12"/>
  <c r="C1567" i="12"/>
  <c r="C1568" i="12"/>
  <c r="N1573" i="12"/>
  <c r="O1573" i="12"/>
  <c r="P1573" i="12"/>
  <c r="Q1573" i="12"/>
  <c r="R1573" i="12"/>
  <c r="S1573" i="12"/>
  <c r="T1573" i="12"/>
  <c r="U1573" i="12"/>
  <c r="V1573" i="12"/>
  <c r="M1574" i="12"/>
  <c r="N1574" i="12"/>
  <c r="O1574" i="12"/>
  <c r="P1574" i="12"/>
  <c r="Q1574" i="12"/>
  <c r="R1574" i="12"/>
  <c r="S1574" i="12"/>
  <c r="T1574" i="12"/>
  <c r="U1574" i="12"/>
  <c r="V1574" i="12"/>
  <c r="M1575" i="12"/>
  <c r="N1575" i="12"/>
  <c r="O1575" i="12"/>
  <c r="P1575" i="12"/>
  <c r="Q1575" i="12"/>
  <c r="R1575" i="12"/>
  <c r="S1575" i="12"/>
  <c r="T1575" i="12"/>
  <c r="U1575" i="12"/>
  <c r="V1575" i="12"/>
  <c r="M1576" i="12"/>
  <c r="N1576" i="12"/>
  <c r="O1576" i="12"/>
  <c r="P1576" i="12"/>
  <c r="Q1576" i="12"/>
  <c r="R1576" i="12"/>
  <c r="S1576" i="12"/>
  <c r="T1576" i="12"/>
  <c r="U1576" i="12"/>
  <c r="V1576" i="12"/>
  <c r="M1577" i="12"/>
  <c r="N1577" i="12"/>
  <c r="O1577" i="12"/>
  <c r="P1577" i="12"/>
  <c r="Q1577" i="12"/>
  <c r="R1577" i="12"/>
  <c r="S1577" i="12"/>
  <c r="T1577" i="12"/>
  <c r="U1577" i="12"/>
  <c r="V1577" i="12"/>
  <c r="M1578" i="12"/>
  <c r="N1578" i="12"/>
  <c r="O1578" i="12"/>
  <c r="P1578" i="12"/>
  <c r="Q1578" i="12"/>
  <c r="R1578" i="12"/>
  <c r="S1578" i="12"/>
  <c r="T1578" i="12"/>
  <c r="U1578" i="12"/>
  <c r="V1578" i="12"/>
  <c r="C1580" i="12"/>
  <c r="C1581" i="12"/>
  <c r="N1586" i="12"/>
  <c r="O1586" i="12"/>
  <c r="P1586" i="12"/>
  <c r="Q1586" i="12"/>
  <c r="R1586" i="12"/>
  <c r="S1586" i="12"/>
  <c r="T1586" i="12"/>
  <c r="U1586" i="12"/>
  <c r="V1586" i="12"/>
  <c r="M1587" i="12"/>
  <c r="N1587" i="12"/>
  <c r="O1587" i="12"/>
  <c r="P1587" i="12"/>
  <c r="Q1587" i="12"/>
  <c r="R1587" i="12"/>
  <c r="S1587" i="12"/>
  <c r="T1587" i="12"/>
  <c r="U1587" i="12"/>
  <c r="V1587" i="12"/>
  <c r="M1588" i="12"/>
  <c r="N1588" i="12"/>
  <c r="O1588" i="12"/>
  <c r="P1588" i="12"/>
  <c r="Q1588" i="12"/>
  <c r="R1588" i="12"/>
  <c r="S1588" i="12"/>
  <c r="T1588" i="12"/>
  <c r="U1588" i="12"/>
  <c r="V1588" i="12"/>
  <c r="M1589" i="12"/>
  <c r="N1589" i="12"/>
  <c r="O1589" i="12"/>
  <c r="P1589" i="12"/>
  <c r="Q1589" i="12"/>
  <c r="R1589" i="12"/>
  <c r="S1589" i="12"/>
  <c r="T1589" i="12"/>
  <c r="U1589" i="12"/>
  <c r="V1589" i="12"/>
  <c r="M1590" i="12"/>
  <c r="N1590" i="12"/>
  <c r="O1590" i="12"/>
  <c r="P1590" i="12"/>
  <c r="Q1590" i="12"/>
  <c r="R1590" i="12"/>
  <c r="S1590" i="12"/>
  <c r="T1590" i="12"/>
  <c r="U1590" i="12"/>
  <c r="V1590" i="12"/>
  <c r="C1592" i="12"/>
  <c r="C1593" i="12"/>
  <c r="N1598" i="12"/>
  <c r="O1598" i="12"/>
  <c r="P1598" i="12"/>
  <c r="Q1598" i="12"/>
  <c r="R1598" i="12"/>
  <c r="S1598" i="12"/>
  <c r="T1598" i="12"/>
  <c r="U1598" i="12"/>
  <c r="V1598" i="12"/>
  <c r="M1599" i="12"/>
  <c r="N1599" i="12"/>
  <c r="O1599" i="12"/>
  <c r="P1599" i="12"/>
  <c r="Q1599" i="12"/>
  <c r="R1599" i="12"/>
  <c r="S1599" i="12"/>
  <c r="T1599" i="12"/>
  <c r="U1599" i="12"/>
  <c r="V1599" i="12"/>
  <c r="M1600" i="12"/>
  <c r="N1600" i="12"/>
  <c r="O1600" i="12"/>
  <c r="P1600" i="12"/>
  <c r="Q1600" i="12"/>
  <c r="R1600" i="12"/>
  <c r="S1600" i="12"/>
  <c r="T1600" i="12"/>
  <c r="U1600" i="12"/>
  <c r="V1600" i="12"/>
  <c r="M1601" i="12"/>
  <c r="N1601" i="12"/>
  <c r="O1601" i="12"/>
  <c r="P1601" i="12"/>
  <c r="Q1601" i="12"/>
  <c r="R1601" i="12"/>
  <c r="S1601" i="12"/>
  <c r="T1601" i="12"/>
  <c r="U1601" i="12"/>
  <c r="V1601" i="12"/>
  <c r="M1602" i="12"/>
  <c r="N1602" i="12"/>
  <c r="O1602" i="12"/>
  <c r="P1602" i="12"/>
  <c r="Q1602" i="12"/>
  <c r="R1602" i="12"/>
  <c r="S1602" i="12"/>
  <c r="T1602" i="12"/>
  <c r="U1602" i="12"/>
  <c r="V1602" i="12"/>
  <c r="C1604" i="12"/>
  <c r="C1605" i="12"/>
  <c r="M1610" i="12"/>
  <c r="N1610" i="12"/>
  <c r="O1610" i="12"/>
  <c r="P1610" i="12"/>
  <c r="Q1610" i="12"/>
  <c r="R1610" i="12"/>
  <c r="S1610" i="12"/>
  <c r="T1610" i="12"/>
  <c r="U1610" i="12"/>
  <c r="V1610" i="12"/>
  <c r="M1611" i="12"/>
  <c r="N1611" i="12"/>
  <c r="O1611" i="12"/>
  <c r="P1611" i="12"/>
  <c r="Q1611" i="12"/>
  <c r="R1611" i="12"/>
  <c r="S1611" i="12"/>
  <c r="T1611" i="12"/>
  <c r="U1611" i="12"/>
  <c r="V1611" i="12"/>
  <c r="C1613" i="12"/>
  <c r="C1614" i="12"/>
  <c r="M1619" i="12"/>
  <c r="N1619" i="12"/>
  <c r="O1619" i="12"/>
  <c r="P1619" i="12"/>
  <c r="Q1619" i="12"/>
  <c r="R1619" i="12"/>
  <c r="S1619" i="12"/>
  <c r="T1619" i="12"/>
  <c r="U1619" i="12"/>
  <c r="V1619" i="12"/>
  <c r="M1620" i="12"/>
  <c r="N1620" i="12"/>
  <c r="O1620" i="12"/>
  <c r="P1620" i="12"/>
  <c r="Q1620" i="12"/>
  <c r="R1620" i="12"/>
  <c r="S1620" i="12"/>
  <c r="T1620" i="12"/>
  <c r="U1620" i="12"/>
  <c r="V1620" i="12"/>
  <c r="C1622" i="12"/>
  <c r="C1623" i="1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Ryan MacGregor</author>
  </authors>
  <commentList>
    <comment ref="V11" authorId="0" shapeId="0" xr:uid="{00000000-0006-0000-0100-000001000000}">
      <text>
        <r>
          <rPr>
            <b/>
            <sz val="9"/>
            <color indexed="81"/>
            <rFont val="Tahoma"/>
            <family val="2"/>
          </rPr>
          <t>Macabacus:</t>
        </r>
        <r>
          <rPr>
            <sz val="9"/>
            <color indexed="81"/>
            <rFont val="Tahoma"/>
            <family val="2"/>
          </rPr>
          <t xml:space="preserve">
Assume zero if unknown.  This would likely be unknown without extensive diligence.</t>
        </r>
      </text>
    </comment>
    <comment ref="V16" authorId="0" shapeId="0" xr:uid="{00000000-0006-0000-0100-000002000000}">
      <text>
        <r>
          <rPr>
            <b/>
            <sz val="9"/>
            <color indexed="81"/>
            <rFont val="Tahoma"/>
            <family val="2"/>
          </rPr>
          <t>Macabacus:</t>
        </r>
        <r>
          <rPr>
            <sz val="9"/>
            <color indexed="81"/>
            <rFont val="Tahoma"/>
            <family val="2"/>
          </rPr>
          <t xml:space="preserve">
Note that if less than 100% of the target is acquired, this would be the grossed-up value.</t>
        </r>
      </text>
    </comment>
    <comment ref="V17" authorId="0" shapeId="0" xr:uid="{00000000-0006-0000-0100-000003000000}">
      <text>
        <r>
          <rPr>
            <b/>
            <sz val="9"/>
            <color indexed="81"/>
            <rFont val="Tahoma"/>
            <family val="2"/>
          </rPr>
          <t>Macabacus:</t>
        </r>
        <r>
          <rPr>
            <sz val="9"/>
            <color indexed="81"/>
            <rFont val="Tahoma"/>
            <family val="2"/>
          </rPr>
          <t xml:space="preserve">
Source:  IRS web site.</t>
        </r>
      </text>
    </comment>
    <comment ref="V18" authorId="0" shapeId="0" xr:uid="{00000000-0006-0000-0100-000004000000}">
      <text>
        <r>
          <rPr>
            <b/>
            <sz val="9"/>
            <color indexed="81"/>
            <rFont val="Tahoma"/>
            <family val="2"/>
          </rPr>
          <t>Macabacus:</t>
        </r>
        <r>
          <rPr>
            <sz val="9"/>
            <color indexed="81"/>
            <rFont val="Tahoma"/>
            <family val="2"/>
          </rPr>
          <t xml:space="preserve">
This is the maximum amount of NOLs that can be used to offset pre-tax income (as calculated for tax purposes) in each lookforward period.</t>
        </r>
      </text>
    </comment>
    <comment ref="V21" authorId="0" shapeId="0" xr:uid="{00000000-0006-0000-0100-000005000000}">
      <text>
        <r>
          <rPr>
            <b/>
            <sz val="9"/>
            <color indexed="81"/>
            <rFont val="Tahoma"/>
            <family val="2"/>
          </rPr>
          <t>Macabacus:</t>
        </r>
        <r>
          <rPr>
            <sz val="9"/>
            <color indexed="81"/>
            <rFont val="Tahoma"/>
            <family val="2"/>
          </rPr>
          <t xml:space="preserve">
NOLs may be carried forward 20 years.  The actual lifetime remaining on the legacy NOLs will be something less than 20 years.  New transaction DTAs subject to the Sec. 382 limitation (i.e. those attributable to losses in the first 12 months) will have a 20-year remaining lifetime at close.
So, what number do we put here?  As a simplifying assumption,  we just use 20 years as our remaining lifetime (in the absence of the actual figure, which is subject to diligence).</t>
        </r>
      </text>
    </comment>
    <comment ref="K22" authorId="0" shapeId="0" xr:uid="{00000000-0006-0000-0100-000006000000}">
      <text>
        <r>
          <rPr>
            <b/>
            <sz val="9"/>
            <color indexed="81"/>
            <rFont val="Tahoma"/>
            <family val="2"/>
          </rPr>
          <t>Macabacus:</t>
        </r>
        <r>
          <rPr>
            <sz val="9"/>
            <color indexed="81"/>
            <rFont val="Tahoma"/>
            <family val="2"/>
          </rPr>
          <t xml:space="preserve">
When average interest is not selected, interest expense is computed using the beginning balance.  To break the circular reference, toggle average interest off then back on.</t>
        </r>
      </text>
    </comment>
    <comment ref="P22" authorId="0" shapeId="0" xr:uid="{00000000-0006-0000-0100-000007000000}">
      <text>
        <r>
          <rPr>
            <sz val="8"/>
            <color indexed="8"/>
            <rFont val="Tahoma"/>
            <family val="2"/>
          </rPr>
          <t>Includes current portion of long-term debt.</t>
        </r>
      </text>
    </comment>
    <comment ref="V22" authorId="0" shapeId="0" xr:uid="{00000000-0006-0000-0100-000008000000}">
      <text>
        <r>
          <rPr>
            <b/>
            <sz val="9"/>
            <color indexed="81"/>
            <rFont val="Tahoma"/>
            <family val="2"/>
          </rPr>
          <t>Macabacus:</t>
        </r>
        <r>
          <rPr>
            <sz val="9"/>
            <color indexed="81"/>
            <rFont val="Tahoma"/>
            <family val="2"/>
          </rPr>
          <t xml:space="preserve">
This is the maximum tax benefit (i.e. savings) that can be realized from NOL usage over the lookforward period.  Modeling out the usage of these NOLs would be complex and involve the calculation of pre-tax income for tax purposes by adjusting pre-tax income for GAAP purposes for things like Sect. 197 intangibles, etc.  As a simplifying assumption, we can just amortize these NOLs straight-line over the lookforward period.</t>
        </r>
      </text>
    </comment>
    <comment ref="K27" authorId="0" shapeId="0" xr:uid="{00000000-0006-0000-0100-000009000000}">
      <text>
        <r>
          <rPr>
            <b/>
            <sz val="9"/>
            <color indexed="81"/>
            <rFont val="Tahoma"/>
            <family val="2"/>
          </rPr>
          <t>Macabacus:</t>
        </r>
        <r>
          <rPr>
            <sz val="9"/>
            <color indexed="81"/>
            <rFont val="Tahoma"/>
            <family val="2"/>
          </rPr>
          <t xml:space="preserve">
This is not used in the model, but could be used in a FactSet or CapitalIQ formula to pull the target's share price.</t>
        </r>
      </text>
    </comment>
    <comment ref="O32" authorId="0" shapeId="0" xr:uid="{00000000-0006-0000-0100-00000A000000}">
      <text>
        <r>
          <rPr>
            <b/>
            <sz val="9"/>
            <color indexed="81"/>
            <rFont val="Tahoma"/>
            <family val="2"/>
          </rPr>
          <t>Macabacus:</t>
        </r>
        <r>
          <rPr>
            <sz val="9"/>
            <color indexed="81"/>
            <rFont val="Tahoma"/>
            <family val="2"/>
          </rPr>
          <t xml:space="preserve">
LTM as of transaction close.</t>
        </r>
      </text>
    </comment>
    <comment ref="O36" authorId="0" shapeId="0" xr:uid="{00000000-0006-0000-0100-00000B000000}">
      <text>
        <r>
          <rPr>
            <b/>
            <sz val="9"/>
            <color indexed="81"/>
            <rFont val="Tahoma"/>
            <family val="2"/>
          </rPr>
          <t>Macabacus:</t>
        </r>
        <r>
          <rPr>
            <sz val="9"/>
            <color indexed="81"/>
            <rFont val="Tahoma"/>
            <family val="2"/>
          </rPr>
          <t xml:space="preserve">
LTM as of transaction close.</t>
        </r>
      </text>
    </comment>
    <comment ref="V40" authorId="0" shapeId="0" xr:uid="{00000000-0006-0000-0100-00000C000000}">
      <text>
        <r>
          <rPr>
            <b/>
            <sz val="9"/>
            <color indexed="81"/>
            <rFont val="Tahoma"/>
            <family val="2"/>
          </rPr>
          <t>Macabacus:</t>
        </r>
        <r>
          <rPr>
            <sz val="9"/>
            <color indexed="81"/>
            <rFont val="Tahoma"/>
            <family val="2"/>
          </rPr>
          <t xml:space="preserve">
For simplicity, assume that the FV of NCI equals the book value. </t>
        </r>
      </text>
    </comment>
    <comment ref="B44" authorId="0" shapeId="0" xr:uid="{00000000-0006-0000-0100-00000D000000}">
      <text>
        <r>
          <rPr>
            <b/>
            <sz val="9"/>
            <color indexed="81"/>
            <rFont val="Tahoma"/>
            <family val="2"/>
          </rPr>
          <t>Macabacus:</t>
        </r>
        <r>
          <rPr>
            <sz val="9"/>
            <color indexed="81"/>
            <rFont val="Tahoma"/>
            <family val="2"/>
          </rPr>
          <t xml:space="preserve">
We have made the simplifying assumption that face values of debt and preferred equals their book values.  Had we not made this assumption, you would enter the write-ups/downs to face value here.</t>
        </r>
      </text>
    </comment>
    <comment ref="E44" authorId="0" shapeId="0" xr:uid="{00000000-0006-0000-0100-00000E000000}">
      <text>
        <r>
          <rPr>
            <b/>
            <sz val="9"/>
            <color indexed="81"/>
            <rFont val="Tahoma"/>
            <family val="2"/>
          </rPr>
          <t>Macabacus:</t>
        </r>
        <r>
          <rPr>
            <sz val="9"/>
            <color indexed="81"/>
            <rFont val="Tahoma"/>
            <family val="2"/>
          </rPr>
          <t xml:space="preserve">
Enter 1  for assets, and 0 for liabilities.</t>
        </r>
      </text>
    </comment>
    <comment ref="G44" authorId="0" shapeId="0" xr:uid="{00000000-0006-0000-0100-00000F000000}">
      <text>
        <r>
          <rPr>
            <b/>
            <sz val="9"/>
            <color indexed="81"/>
            <rFont val="Tahoma"/>
            <family val="2"/>
          </rPr>
          <t>Macabacus:</t>
        </r>
        <r>
          <rPr>
            <sz val="9"/>
            <color indexed="81"/>
            <rFont val="Tahoma"/>
            <family val="2"/>
          </rPr>
          <t xml:space="preserve">
Assume equal to book value if not available.  For debt, this is the face value of the debt.</t>
        </r>
      </text>
    </comment>
    <comment ref="H44" authorId="0" shapeId="0" xr:uid="{00000000-0006-0000-0100-000010000000}">
      <text>
        <r>
          <rPr>
            <b/>
            <sz val="9"/>
            <color indexed="81"/>
            <rFont val="Tahoma"/>
            <family val="2"/>
          </rPr>
          <t>Macabacus:</t>
        </r>
        <r>
          <rPr>
            <sz val="9"/>
            <color indexed="81"/>
            <rFont val="Tahoma"/>
            <family val="2"/>
          </rPr>
          <t xml:space="preserve">
Fair value marks expressed in direction of the mark.</t>
        </r>
      </text>
    </comment>
    <comment ref="I44" authorId="0" shapeId="0" xr:uid="{00000000-0006-0000-0100-000011000000}">
      <text>
        <r>
          <rPr>
            <b/>
            <sz val="9"/>
            <color indexed="81"/>
            <rFont val="Tahoma"/>
            <family val="2"/>
          </rPr>
          <t>Macacbacus:</t>
        </r>
        <r>
          <rPr>
            <sz val="9"/>
            <color indexed="81"/>
            <rFont val="Tahoma"/>
            <family val="2"/>
          </rPr>
          <t xml:space="preserve">
DTA created from write-down of an asset or write-up of a liability.</t>
        </r>
      </text>
    </comment>
    <comment ref="J44" authorId="0" shapeId="0" xr:uid="{00000000-0006-0000-0100-000012000000}">
      <text>
        <r>
          <rPr>
            <b/>
            <sz val="9"/>
            <color indexed="81"/>
            <rFont val="Tahoma"/>
            <family val="2"/>
          </rPr>
          <t>Macacbacus:</t>
        </r>
        <r>
          <rPr>
            <sz val="9"/>
            <color indexed="81"/>
            <rFont val="Tahoma"/>
            <family val="2"/>
          </rPr>
          <t xml:space="preserve">
DTA created from write-up of an asset or write-down of a liability.</t>
        </r>
      </text>
    </comment>
    <comment ref="P47" authorId="0" shapeId="0" xr:uid="{00000000-0006-0000-0100-000013000000}">
      <text>
        <r>
          <rPr>
            <sz val="8"/>
            <color indexed="8"/>
            <rFont val="Tahoma"/>
            <family val="2"/>
          </rPr>
          <t>Source:  Barra Book.</t>
        </r>
      </text>
    </comment>
    <comment ref="V50" authorId="0" shapeId="0" xr:uid="{00000000-0006-0000-0100-000014000000}">
      <text>
        <r>
          <rPr>
            <b/>
            <sz val="9"/>
            <color indexed="81"/>
            <rFont val="Tahoma"/>
            <family val="2"/>
          </rPr>
          <t>Macabacus:</t>
        </r>
        <r>
          <rPr>
            <sz val="9"/>
            <color indexed="81"/>
            <rFont val="Tahoma"/>
            <family val="2"/>
          </rPr>
          <t xml:space="preserve">
Note that there is no DTL related to bargain purchase gains that we need to adjust for in the calculation of goodwill.</t>
        </r>
      </text>
    </comment>
    <comment ref="P56" authorId="0" shapeId="0" xr:uid="{00000000-0006-0000-0100-000015000000}">
      <text>
        <r>
          <rPr>
            <b/>
            <sz val="9"/>
            <color indexed="81"/>
            <rFont val="Tahoma"/>
            <family val="2"/>
          </rPr>
          <t>Macabacus:</t>
        </r>
        <r>
          <rPr>
            <sz val="9"/>
            <color indexed="81"/>
            <rFont val="Tahoma"/>
            <family val="2"/>
          </rPr>
          <t xml:space="preserve">
You may need to recalculate a few times to clear an error after switching scenarios due to circularity.</t>
        </r>
      </text>
    </comment>
    <comment ref="B85" authorId="0" shapeId="0" xr:uid="{00000000-0006-0000-0100-000016000000}">
      <text>
        <r>
          <rPr>
            <b/>
            <sz val="9"/>
            <color indexed="81"/>
            <rFont val="Tahoma"/>
            <family val="2"/>
          </rPr>
          <t>Macacbacus:</t>
        </r>
        <r>
          <rPr>
            <sz val="9"/>
            <color indexed="81"/>
            <rFont val="Tahoma"/>
            <family val="2"/>
          </rPr>
          <t xml:space="preserve">
Includes revolver undrawn commitment fee.</t>
        </r>
      </text>
    </comment>
    <comment ref="B126" authorId="0" shapeId="0" xr:uid="{00000000-0006-0000-0100-000017000000}">
      <text>
        <r>
          <rPr>
            <b/>
            <sz val="9"/>
            <color indexed="81"/>
            <rFont val="Tahoma"/>
            <family val="2"/>
          </rPr>
          <t>Macabacus:</t>
        </r>
        <r>
          <rPr>
            <sz val="9"/>
            <color indexed="81"/>
            <rFont val="Tahoma"/>
            <family val="2"/>
          </rPr>
          <t xml:space="preserve">
Defined as cash and cash equivalents plus A/R divided by current liabilities.</t>
        </r>
      </text>
    </comment>
    <comment ref="B134" authorId="0" shapeId="0" xr:uid="{00000000-0006-0000-0100-000018000000}">
      <text>
        <r>
          <rPr>
            <b/>
            <sz val="9"/>
            <color indexed="81"/>
            <rFont val="Tahoma"/>
            <family val="2"/>
          </rPr>
          <t>Macabacus:</t>
        </r>
        <r>
          <rPr>
            <sz val="9"/>
            <color indexed="81"/>
            <rFont val="Tahoma"/>
            <family val="2"/>
          </rPr>
          <t xml:space="preserve">
Computed as sales made on credit divided by the average A/R.  Total net sales may be used as a proxy for net credit sales when credit sales are not broken out from total sales.</t>
        </r>
      </text>
    </comment>
    <comment ref="B135" authorId="0" shapeId="0" xr:uid="{00000000-0006-0000-0100-000019000000}">
      <text>
        <r>
          <rPr>
            <b/>
            <sz val="9"/>
            <color indexed="81"/>
            <rFont val="Tahoma"/>
            <family val="2"/>
          </rPr>
          <t>Macacbacus:</t>
        </r>
        <r>
          <rPr>
            <sz val="9"/>
            <color indexed="81"/>
            <rFont val="Tahoma"/>
            <family val="2"/>
          </rPr>
          <t xml:space="preserve">
The numerator describes purchases made on credit, and is calculated as the ending inventory less the beginning inventory plus COGS.  Total purchases is often used as a proxy for credit purchases since credit purchases are not usually broken out from total purchases.</t>
        </r>
      </text>
    </comment>
    <comment ref="E146" authorId="0" shapeId="0" xr:uid="{00000000-0006-0000-0100-00001A000000}">
      <text>
        <r>
          <rPr>
            <b/>
            <sz val="9"/>
            <color indexed="81"/>
            <rFont val="Tahoma"/>
            <family val="2"/>
          </rPr>
          <t>Macabacus:</t>
        </r>
        <r>
          <rPr>
            <sz val="9"/>
            <color indexed="81"/>
            <rFont val="Tahoma"/>
            <family val="2"/>
          </rPr>
          <t xml:space="preserve">
Source:  10-Q.</t>
        </r>
      </text>
    </comment>
    <comment ref="F146" authorId="0" shapeId="0" xr:uid="{00000000-0006-0000-0100-00001B000000}">
      <text>
        <r>
          <rPr>
            <b/>
            <sz val="9"/>
            <color indexed="81"/>
            <rFont val="Tahoma"/>
            <family val="2"/>
          </rPr>
          <t>Macabacus:</t>
        </r>
        <r>
          <rPr>
            <sz val="9"/>
            <color indexed="81"/>
            <rFont val="Tahoma"/>
            <family val="2"/>
          </rPr>
          <t xml:space="preserve">
Source:  Analyst projections.</t>
        </r>
      </text>
    </comment>
    <comment ref="G146" authorId="0" shapeId="0" xr:uid="{00000000-0006-0000-0100-00001C000000}">
      <text>
        <r>
          <rPr>
            <b/>
            <sz val="9"/>
            <color indexed="81"/>
            <rFont val="Tahoma"/>
            <family val="2"/>
          </rPr>
          <t>Macabacus:</t>
        </r>
        <r>
          <rPr>
            <sz val="9"/>
            <color indexed="81"/>
            <rFont val="Tahoma"/>
            <family val="2"/>
          </rPr>
          <t xml:space="preserve">
Source:  Analyst projections.</t>
        </r>
      </text>
    </comment>
    <comment ref="H146" authorId="0" shapeId="0" xr:uid="{00000000-0006-0000-0100-00001D000000}">
      <text>
        <r>
          <rPr>
            <b/>
            <sz val="9"/>
            <color indexed="81"/>
            <rFont val="Tahoma"/>
            <family val="2"/>
          </rPr>
          <t>Macabacus:</t>
        </r>
        <r>
          <rPr>
            <sz val="9"/>
            <color indexed="81"/>
            <rFont val="Tahoma"/>
            <family val="2"/>
          </rPr>
          <t xml:space="preserve">
Source:  Analyst projections.</t>
        </r>
      </text>
    </comment>
    <comment ref="I146" authorId="0" shapeId="0" xr:uid="{00000000-0006-0000-0100-00001E000000}">
      <text>
        <r>
          <rPr>
            <b/>
            <sz val="9"/>
            <color indexed="81"/>
            <rFont val="Tahoma"/>
            <family val="2"/>
          </rPr>
          <t>Macabacus:</t>
        </r>
        <r>
          <rPr>
            <sz val="9"/>
            <color indexed="81"/>
            <rFont val="Tahoma"/>
            <family val="2"/>
          </rPr>
          <t xml:space="preserve">
Source:  Analyst projections.</t>
        </r>
      </text>
    </comment>
    <comment ref="B153" authorId="0" shapeId="0" xr:uid="{00000000-0006-0000-0100-00001F000000}">
      <text>
        <r>
          <rPr>
            <b/>
            <sz val="9"/>
            <color indexed="81"/>
            <rFont val="Tahoma"/>
            <family val="2"/>
          </rPr>
          <t>Macabacus:</t>
        </r>
        <r>
          <rPr>
            <sz val="9"/>
            <color indexed="81"/>
            <rFont val="Tahoma"/>
            <family val="2"/>
          </rPr>
          <t xml:space="preserve">
Does not include stock-based compensation expense.</t>
        </r>
      </text>
    </comment>
    <comment ref="B250" authorId="0" shapeId="0" xr:uid="{00000000-0006-0000-0100-000020000000}">
      <text>
        <r>
          <rPr>
            <b/>
            <sz val="9"/>
            <color indexed="81"/>
            <rFont val="Tahoma"/>
            <family val="2"/>
          </rPr>
          <t>Macabacus:</t>
        </r>
        <r>
          <rPr>
            <sz val="9"/>
            <color indexed="81"/>
            <rFont val="Tahoma"/>
            <family val="2"/>
          </rPr>
          <t xml:space="preserve">
This DTA does not include NOLs.  Any NOLs are reflected in the long-term DTA below.</t>
        </r>
      </text>
    </comment>
    <comment ref="B287" authorId="0" shapeId="0" xr:uid="{00000000-0006-0000-0100-000021000000}">
      <text>
        <r>
          <rPr>
            <sz val="8"/>
            <color indexed="8"/>
            <rFont val="Tahoma"/>
            <family val="2"/>
          </rPr>
          <t>Under the new FAS 141r accounting rules, effective 12/15/2008, non-controlling interest now resides in the shareholders' equity section of the balance sheet.</t>
        </r>
      </text>
    </comment>
    <comment ref="D385" authorId="0" shapeId="0" xr:uid="{00000000-0006-0000-0100-000022000000}">
      <text>
        <r>
          <rPr>
            <b/>
            <sz val="9"/>
            <color indexed="81"/>
            <rFont val="Tahoma"/>
            <family val="2"/>
          </rPr>
          <t>Macabacus:</t>
        </r>
        <r>
          <rPr>
            <sz val="9"/>
            <color indexed="81"/>
            <rFont val="Tahoma"/>
            <family val="2"/>
          </rPr>
          <t xml:space="preserve">
1 = Sales, 2 = COGS</t>
        </r>
      </text>
    </comment>
    <comment ref="E417" authorId="0" shapeId="0" xr:uid="{00000000-0006-0000-0100-000023000000}">
      <text>
        <r>
          <rPr>
            <b/>
            <sz val="9"/>
            <color indexed="81"/>
            <rFont val="Tahoma"/>
            <family val="2"/>
          </rPr>
          <t>Macabacus:</t>
        </r>
        <r>
          <rPr>
            <sz val="9"/>
            <color indexed="81"/>
            <rFont val="Tahoma"/>
            <family val="2"/>
          </rPr>
          <t xml:space="preserve">
Whether you apply the DRD to deferred taxes is a judgement call.  Accountants will generally advise you not to, since companies rarely pay "catch-up" dividends (i.e. they will not likely distribute dividends in the future that were not distributed in the current period).  So, these undistributed dividends would never qualify for the DRD because they are not expected to be distributed in the future.
If you do expect undistributed earnings to be paid out in a future period, then you would apply the DRD to the undistrubted earnings.</t>
        </r>
      </text>
    </comment>
    <comment ref="F513" authorId="0" shapeId="0" xr:uid="{00000000-0006-0000-0100-000024000000}">
      <text>
        <r>
          <rPr>
            <b/>
            <sz val="9"/>
            <color indexed="81"/>
            <rFont val="Tahoma"/>
            <family val="2"/>
          </rPr>
          <t>Macabacus:</t>
        </r>
        <r>
          <rPr>
            <sz val="9"/>
            <color indexed="81"/>
            <rFont val="Tahoma"/>
            <family val="2"/>
          </rPr>
          <t xml:space="preserve">
Assumes no PIK on legacy debt.</t>
        </r>
      </text>
    </comment>
    <comment ref="M513" authorId="0" shapeId="0" xr:uid="{00000000-0006-0000-0100-000025000000}">
      <text>
        <r>
          <rPr>
            <b/>
            <sz val="9"/>
            <color indexed="81"/>
            <rFont val="Tahoma"/>
            <family val="2"/>
          </rPr>
          <t>Macabacus:</t>
        </r>
        <r>
          <rPr>
            <sz val="9"/>
            <color indexed="81"/>
            <rFont val="Tahoma"/>
            <family val="2"/>
          </rPr>
          <t xml:space="preserve">
Assumes no PIK on legacy debt.</t>
        </r>
      </text>
    </comment>
    <comment ref="E516" authorId="0" shapeId="0" xr:uid="{00000000-0006-0000-0100-000026000000}">
      <text>
        <r>
          <rPr>
            <b/>
            <sz val="9"/>
            <color indexed="81"/>
            <rFont val="Tahoma"/>
            <family val="2"/>
          </rPr>
          <t>Macabacus:</t>
        </r>
        <r>
          <rPr>
            <sz val="9"/>
            <color indexed="81"/>
            <rFont val="Tahoma"/>
            <family val="2"/>
          </rPr>
          <t xml:space="preserve">
Assumes no unamortized discount on legacy debt.</t>
        </r>
      </text>
    </comment>
    <comment ref="L516" authorId="0" shapeId="0" xr:uid="{00000000-0006-0000-0100-000027000000}">
      <text>
        <r>
          <rPr>
            <b/>
            <sz val="9"/>
            <color indexed="81"/>
            <rFont val="Tahoma"/>
            <family val="2"/>
          </rPr>
          <t>Macabacus:</t>
        </r>
        <r>
          <rPr>
            <sz val="9"/>
            <color indexed="81"/>
            <rFont val="Tahoma"/>
            <family val="2"/>
          </rPr>
          <t xml:space="preserve">
Assumes no unamortized discount on legacy debt.</t>
        </r>
      </text>
    </comment>
    <comment ref="F529" authorId="0" shapeId="0" xr:uid="{00000000-0006-0000-0100-000028000000}">
      <text>
        <r>
          <rPr>
            <b/>
            <sz val="9"/>
            <color indexed="81"/>
            <rFont val="Tahoma"/>
            <family val="2"/>
          </rPr>
          <t>Macabacus:</t>
        </r>
        <r>
          <rPr>
            <sz val="9"/>
            <color indexed="81"/>
            <rFont val="Tahoma"/>
            <family val="2"/>
          </rPr>
          <t xml:space="preserve">
Assumes no unamortized discount on legacy debt.</t>
        </r>
      </text>
    </comment>
    <comment ref="M529" authorId="0" shapeId="0" xr:uid="{00000000-0006-0000-0100-000029000000}">
      <text>
        <r>
          <rPr>
            <b/>
            <sz val="9"/>
            <color indexed="81"/>
            <rFont val="Tahoma"/>
            <family val="2"/>
          </rPr>
          <t>Macabacus:</t>
        </r>
        <r>
          <rPr>
            <sz val="9"/>
            <color indexed="81"/>
            <rFont val="Tahoma"/>
            <family val="2"/>
          </rPr>
          <t xml:space="preserve">
Assumes no unamortized discount on legacy debt.</t>
        </r>
      </text>
    </comment>
    <comment ref="B861" authorId="0" shapeId="0" xr:uid="{00000000-0006-0000-0100-00002A000000}">
      <text>
        <r>
          <rPr>
            <b/>
            <sz val="9"/>
            <color indexed="81"/>
            <rFont val="Tahoma"/>
            <family val="2"/>
          </rPr>
          <t>Macabacus:</t>
        </r>
        <r>
          <rPr>
            <sz val="9"/>
            <color indexed="81"/>
            <rFont val="Tahoma"/>
            <family val="2"/>
          </rPr>
          <t xml:space="preserve">
Expressed as a percentage of total interest/dividends.  PIK normally applies only to subordinated bonds and preferred stock.
With some forms of junior debt and preferred stock, interest and dividend payments may be made "in-kind", meaning that rather than paying interest or dividends with cash, TargetCo may instead pay with additional amounts of debt or preferred stock, as applicable, that increase the face value of these securities.  Payment-in-kind ("PIK") is often structured so that TargetCo has the option to pay either cash or in-kind for the first few years, after which all interest payments and dividends must be paid in cash.  TargetCo will often elect to pay in-kind whenever possible to conserve cash.  Whether such payments are made in-kind or in cash, the interest expense or dividend payments appear in full on the income statement.  Any amounts paid in-kind are added back to net income on the cash flow statement since no cash was actually paid.  We assume here that any years PIK are measured from the date the deal closes.</t>
        </r>
      </text>
    </comment>
    <comment ref="B955" authorId="0" shapeId="0" xr:uid="{00000000-0006-0000-0100-00002B000000}">
      <text>
        <r>
          <rPr>
            <b/>
            <sz val="9"/>
            <color indexed="81"/>
            <rFont val="Tahoma"/>
            <family val="2"/>
          </rPr>
          <t>Macabacus:</t>
        </r>
        <r>
          <rPr>
            <sz val="9"/>
            <color indexed="81"/>
            <rFont val="Tahoma"/>
            <family val="2"/>
          </rPr>
          <t xml:space="preserve">
This is a plug.  If assumptions are reasonable, this row should go to zero.</t>
        </r>
      </text>
    </comment>
    <comment ref="B1001" authorId="0" shapeId="0" xr:uid="{00000000-0006-0000-0100-00002C000000}">
      <text>
        <r>
          <rPr>
            <b/>
            <sz val="9"/>
            <color indexed="81"/>
            <rFont val="Tahoma"/>
            <family val="2"/>
          </rPr>
          <t>Macabacus:</t>
        </r>
        <r>
          <rPr>
            <sz val="9"/>
            <color indexed="81"/>
            <rFont val="Tahoma"/>
            <family val="2"/>
          </rPr>
          <t xml:space="preserve">
Assume same as book depreciation for simplicity and to avoid masking purchase accounting adjustments on a pro forma basis.  This might be a valid assumption if the company has no existing DTA/DTL.</t>
        </r>
      </text>
    </comment>
    <comment ref="B1002" authorId="0" shapeId="0" xr:uid="{00000000-0006-0000-0100-00002D000000}">
      <text>
        <r>
          <rPr>
            <b/>
            <sz val="9"/>
            <color indexed="81"/>
            <rFont val="Tahoma"/>
            <family val="2"/>
          </rPr>
          <t>Macabacus:</t>
        </r>
        <r>
          <rPr>
            <sz val="9"/>
            <color indexed="81"/>
            <rFont val="Tahoma"/>
            <family val="2"/>
          </rPr>
          <t xml:space="preserve">
Assume same as book amortization for simplicity and to avoid masking purchase accounting adjustments on a pro forma basis.  This might be a valid assumption if the company has no existing DTA/DTL.</t>
        </r>
      </text>
    </comment>
    <comment ref="B1003" authorId="0" shapeId="0" xr:uid="{00000000-0006-0000-0100-00002E000000}">
      <text>
        <r>
          <rPr>
            <b/>
            <sz val="9"/>
            <color indexed="81"/>
            <rFont val="Tahoma"/>
            <family val="2"/>
          </rPr>
          <t>Macabacus:</t>
        </r>
        <r>
          <rPr>
            <sz val="9"/>
            <color indexed="81"/>
            <rFont val="Tahoma"/>
            <family val="2"/>
          </rPr>
          <t xml:space="preserve">
Assume same as book for simplicity.</t>
        </r>
      </text>
    </comment>
    <comment ref="E1033" authorId="0" shapeId="0" xr:uid="{00000000-0006-0000-0100-00002F000000}">
      <text>
        <r>
          <rPr>
            <b/>
            <sz val="9"/>
            <color indexed="81"/>
            <rFont val="Tahoma"/>
            <family val="2"/>
          </rPr>
          <t>Macabacus:</t>
        </r>
        <r>
          <rPr>
            <sz val="9"/>
            <color indexed="81"/>
            <rFont val="Tahoma"/>
            <family val="2"/>
          </rPr>
          <t xml:space="preserve">
Assumes all existing NOL is not encumbered by Section 382.</t>
        </r>
      </text>
    </comment>
    <comment ref="L1033" authorId="0" shapeId="0" xr:uid="{00000000-0006-0000-0100-000030000000}">
      <text>
        <r>
          <rPr>
            <b/>
            <sz val="9"/>
            <color indexed="81"/>
            <rFont val="Tahoma"/>
            <family val="2"/>
          </rPr>
          <t>Macabacus:</t>
        </r>
        <r>
          <rPr>
            <sz val="9"/>
            <color indexed="81"/>
            <rFont val="Tahoma"/>
            <family val="2"/>
          </rPr>
          <t xml:space="preserve">
Assumes all previously unencumbered NOL become encumbered by Section 382 in the LBO (a stock deal).</t>
        </r>
      </text>
    </comment>
    <comment ref="E1039" authorId="0" shapeId="0" xr:uid="{00000000-0006-0000-0100-000031000000}">
      <text>
        <r>
          <rPr>
            <b/>
            <sz val="9"/>
            <color indexed="81"/>
            <rFont val="Tahoma"/>
            <family val="2"/>
          </rPr>
          <t>Macabacus:</t>
        </r>
        <r>
          <rPr>
            <sz val="9"/>
            <color indexed="81"/>
            <rFont val="Tahoma"/>
            <family val="2"/>
          </rPr>
          <t xml:space="preserve">
Assumes all existing NOL is not encumbered by Section 382.</t>
        </r>
      </text>
    </comment>
    <comment ref="L1039" authorId="0" shapeId="0" xr:uid="{00000000-0006-0000-0100-000032000000}">
      <text>
        <r>
          <rPr>
            <b/>
            <sz val="9"/>
            <color indexed="81"/>
            <rFont val="Tahoma"/>
            <family val="2"/>
          </rPr>
          <t>Macabacus:</t>
        </r>
        <r>
          <rPr>
            <sz val="9"/>
            <color indexed="81"/>
            <rFont val="Tahoma"/>
            <family val="2"/>
          </rPr>
          <t xml:space="preserve">
Since we assume all prior NOL were unencumbered by Section 382, there would be no unused limitation at close.</t>
        </r>
      </text>
    </comment>
    <comment ref="B1046" authorId="0" shapeId="0" xr:uid="{00000000-0006-0000-0100-000033000000}">
      <text>
        <r>
          <rPr>
            <b/>
            <sz val="9"/>
            <color indexed="81"/>
            <rFont val="Tahoma"/>
            <family val="2"/>
          </rPr>
          <t>Macabacus:</t>
        </r>
        <r>
          <rPr>
            <sz val="9"/>
            <color indexed="81"/>
            <rFont val="Tahoma"/>
            <family val="2"/>
          </rPr>
          <t xml:space="preserve">
NOL generated post-close can be carried forward 20 years, and will not expire during the projection period, so enter zero in all periods (this is a shortcut to building separate schedules for each vintage of NOL generated post-close).</t>
        </r>
      </text>
    </comment>
    <comment ref="E1047" authorId="0" shapeId="0" xr:uid="{00000000-0006-0000-0100-000034000000}">
      <text>
        <r>
          <rPr>
            <b/>
            <sz val="9"/>
            <color indexed="81"/>
            <rFont val="Tahoma"/>
            <family val="2"/>
          </rPr>
          <t>Macabacus:</t>
        </r>
        <r>
          <rPr>
            <sz val="9"/>
            <color indexed="81"/>
            <rFont val="Tahoma"/>
            <family val="2"/>
          </rPr>
          <t xml:space="preserve">
Assumes all existing NOL is not encumbered by Section 382.</t>
        </r>
      </text>
    </comment>
    <comment ref="L1047" authorId="0" shapeId="0" xr:uid="{00000000-0006-0000-0100-000035000000}">
      <text>
        <r>
          <rPr>
            <b/>
            <sz val="9"/>
            <color indexed="81"/>
            <rFont val="Tahoma"/>
            <family val="2"/>
          </rPr>
          <t>Macabacus:</t>
        </r>
        <r>
          <rPr>
            <sz val="9"/>
            <color indexed="81"/>
            <rFont val="Tahoma"/>
            <family val="2"/>
          </rPr>
          <t xml:space="preserve">
Assumes all existing NOL become encumbered by Section 382, if assets are NOT stepped for tax purposes (stock deal with no Section 338 election), or do not carry over (asset deal or stock deak with Section 338 election).</t>
        </r>
      </text>
    </comment>
    <comment ref="L1053" authorId="0" shapeId="0" xr:uid="{00000000-0006-0000-0100-000036000000}">
      <text>
        <r>
          <rPr>
            <b/>
            <sz val="9"/>
            <color indexed="81"/>
            <rFont val="Tahoma"/>
            <family val="2"/>
          </rPr>
          <t>Macabacus:</t>
        </r>
        <r>
          <rPr>
            <sz val="9"/>
            <color indexed="81"/>
            <rFont val="Tahoma"/>
            <family val="2"/>
          </rPr>
          <t xml:space="preserve">
This is the post-mark value of the DTA attributable to NOL, after adjusting for limitations on usage imposed by Section 382.</t>
        </r>
      </text>
    </comment>
    <comment ref="B1132" authorId="0" shapeId="0" xr:uid="{00000000-0006-0000-0100-000037000000}">
      <text>
        <r>
          <rPr>
            <b/>
            <sz val="9"/>
            <color indexed="81"/>
            <rFont val="Tahoma"/>
            <family val="2"/>
          </rPr>
          <t>Macabacus:</t>
        </r>
        <r>
          <rPr>
            <sz val="9"/>
            <color indexed="81"/>
            <rFont val="Tahoma"/>
            <family val="2"/>
          </rPr>
          <t xml:space="preserve">
Note that we do not tax effect the add-back of preferred dividends.</t>
        </r>
      </text>
    </comment>
    <comment ref="B1147" authorId="0" shapeId="0" xr:uid="{00000000-0006-0000-0100-000038000000}">
      <text>
        <r>
          <rPr>
            <b/>
            <sz val="9"/>
            <color indexed="81"/>
            <rFont val="Tahoma"/>
            <family val="2"/>
          </rPr>
          <t>Macabacus:</t>
        </r>
        <r>
          <rPr>
            <sz val="9"/>
            <color indexed="81"/>
            <rFont val="Tahoma"/>
            <family val="2"/>
          </rPr>
          <t xml:space="preserve">
If the security is anti-dilutive, it is not included in the fully diluted share count.  Conversely, if the security is dilutive, it is included in the fully diluted share count.</t>
        </r>
      </text>
    </comment>
    <comment ref="K1162" authorId="0" shapeId="0" xr:uid="{00000000-0006-0000-0100-000039000000}">
      <text>
        <r>
          <rPr>
            <b/>
            <sz val="9"/>
            <color indexed="81"/>
            <rFont val="Tahoma"/>
            <family val="2"/>
          </rPr>
          <t>Macabacus:</t>
        </r>
        <r>
          <rPr>
            <sz val="9"/>
            <color indexed="81"/>
            <rFont val="Tahoma"/>
            <family val="2"/>
          </rPr>
          <t xml:space="preserve">
It doesn't matter what the pro forma share count is in the case of an LBO, since there is no relationship between the standalone and pro forma share counts, and the concept of accretion/dilution is NM.  Also, in an LBO, we assume no dividends, so that all cash is used to service debt rather than distributed to shareholders.</t>
        </r>
      </text>
    </comment>
    <comment ref="K1163" authorId="0" shapeId="0" xr:uid="{00000000-0006-0000-0100-00003A000000}">
      <text>
        <r>
          <rPr>
            <b/>
            <sz val="9"/>
            <color indexed="81"/>
            <rFont val="Tahoma"/>
            <family val="2"/>
          </rPr>
          <t>Macabacus:</t>
        </r>
        <r>
          <rPr>
            <sz val="9"/>
            <color indexed="81"/>
            <rFont val="Tahoma"/>
            <family val="2"/>
          </rPr>
          <t xml:space="preserve">
It doesn't matter what the pro forma share count is in the case of an LBO, since there is no relationship between the standalone and pro forma share counts, and the concept of accretion/dilution is NM.  Also, in an LBO, we assume no dividends, so that all cash is used to service debt rather than distributed to shareholders.</t>
        </r>
      </text>
    </comment>
    <comment ref="B1247" authorId="0" shapeId="0" xr:uid="{00000000-0006-0000-0100-00003B000000}">
      <text>
        <r>
          <rPr>
            <b/>
            <sz val="9"/>
            <color indexed="81"/>
            <rFont val="Tahoma"/>
            <family val="2"/>
          </rPr>
          <t>Macabacus:</t>
        </r>
        <r>
          <rPr>
            <sz val="9"/>
            <color indexed="81"/>
            <rFont val="Tahoma"/>
            <family val="2"/>
          </rPr>
          <t xml:space="preserve">
This is the size of the revolving credit facility to which the bank has committed.</t>
        </r>
      </text>
    </comment>
    <comment ref="J1264" authorId="0" shapeId="0" xr:uid="{00000000-0006-0000-0100-00003C000000}">
      <text>
        <r>
          <rPr>
            <b/>
            <sz val="9"/>
            <color indexed="81"/>
            <rFont val="Tahoma"/>
            <family val="2"/>
          </rPr>
          <t>Macabacus:</t>
        </r>
        <r>
          <rPr>
            <sz val="9"/>
            <color indexed="81"/>
            <rFont val="Tahoma"/>
            <family val="2"/>
          </rPr>
          <t xml:space="preserve">
Plug.</t>
        </r>
      </text>
    </comment>
    <comment ref="K1264" authorId="0" shapeId="0" xr:uid="{00000000-0006-0000-0100-00003D000000}">
      <text>
        <r>
          <rPr>
            <b/>
            <sz val="9"/>
            <color indexed="81"/>
            <rFont val="Tahoma"/>
            <family val="2"/>
          </rPr>
          <t>Macabacus:</t>
        </r>
        <r>
          <rPr>
            <sz val="9"/>
            <color indexed="81"/>
            <rFont val="Tahoma"/>
            <family val="2"/>
          </rPr>
          <t xml:space="preserve">
Plug.</t>
        </r>
      </text>
    </comment>
    <comment ref="L1264" authorId="0" shapeId="0" xr:uid="{00000000-0006-0000-0100-00003E000000}">
      <text>
        <r>
          <rPr>
            <b/>
            <sz val="9"/>
            <color indexed="81"/>
            <rFont val="Tahoma"/>
            <family val="2"/>
          </rPr>
          <t>Macabacus:</t>
        </r>
        <r>
          <rPr>
            <sz val="9"/>
            <color indexed="81"/>
            <rFont val="Tahoma"/>
            <family val="2"/>
          </rPr>
          <t xml:space="preserve">
Plug.</t>
        </r>
      </text>
    </comment>
    <comment ref="B1267" authorId="0" shapeId="0" xr:uid="{00000000-0006-0000-0100-00003F000000}">
      <text>
        <r>
          <rPr>
            <b/>
            <sz val="9"/>
            <color indexed="81"/>
            <rFont val="Tahoma"/>
            <family val="2"/>
          </rPr>
          <t>Macabacus:</t>
        </r>
        <r>
          <rPr>
            <sz val="9"/>
            <color indexed="81"/>
            <rFont val="Tahoma"/>
            <family val="2"/>
          </rPr>
          <t xml:space="preserve">
Assume that tax refund is received immediately, so as to avoid managing a tax receivable current asset.  This is consistent with the methodology used in the transaction balance sheet.</t>
        </r>
      </text>
    </comment>
    <comment ref="H1274" authorId="0" shapeId="0" xr:uid="{00000000-0006-0000-0100-000040000000}">
      <text>
        <r>
          <rPr>
            <b/>
            <sz val="9"/>
            <color indexed="81"/>
            <rFont val="Tahoma"/>
            <family val="2"/>
          </rPr>
          <t>Macabacus:</t>
        </r>
        <r>
          <rPr>
            <sz val="9"/>
            <color indexed="81"/>
            <rFont val="Tahoma"/>
            <family val="2"/>
          </rPr>
          <t xml:space="preserve">
Plug.</t>
        </r>
      </text>
    </comment>
    <comment ref="I1274" authorId="0" shapeId="0" xr:uid="{00000000-0006-0000-0100-000041000000}">
      <text>
        <r>
          <rPr>
            <b/>
            <sz val="9"/>
            <color indexed="81"/>
            <rFont val="Tahoma"/>
            <family val="2"/>
          </rPr>
          <t>Macabacus:</t>
        </r>
        <r>
          <rPr>
            <sz val="9"/>
            <color indexed="81"/>
            <rFont val="Tahoma"/>
            <family val="2"/>
          </rPr>
          <t xml:space="preserve">
Plug.</t>
        </r>
      </text>
    </comment>
    <comment ref="B1284" authorId="0" shapeId="0" xr:uid="{00000000-0006-0000-0100-000042000000}">
      <text>
        <r>
          <rPr>
            <b/>
            <sz val="9"/>
            <color indexed="81"/>
            <rFont val="Tahoma"/>
            <family val="2"/>
          </rPr>
          <t>Macabacus:</t>
        </r>
        <r>
          <rPr>
            <sz val="9"/>
            <color indexed="81"/>
            <rFont val="Tahoma"/>
            <family val="2"/>
          </rPr>
          <t xml:space="preserve">
Includes M&amp;A, legal, and other advisory fees.  Unlike financing fees, which are either capitalized (debt) or reduce APIC (preferred), these fees are expensed at close.</t>
        </r>
      </text>
    </comment>
    <comment ref="J1298" authorId="0" shapeId="0" xr:uid="{00000000-0006-0000-0100-000043000000}">
      <text>
        <r>
          <rPr>
            <b/>
            <sz val="9"/>
            <color indexed="81"/>
            <rFont val="Tahoma"/>
            <family val="2"/>
          </rPr>
          <t>Macabacus:</t>
        </r>
        <r>
          <rPr>
            <sz val="9"/>
            <color indexed="81"/>
            <rFont val="Tahoma"/>
            <family val="2"/>
          </rPr>
          <t xml:space="preserve">
For the revolver, since the revolver does not amortize, use the period over which the bank has committed the funds.</t>
        </r>
      </text>
    </comment>
    <comment ref="K1298" authorId="0" shapeId="0" xr:uid="{00000000-0006-0000-0100-000044000000}">
      <text>
        <r>
          <rPr>
            <b/>
            <sz val="9"/>
            <color indexed="81"/>
            <rFont val="Tahoma"/>
            <family val="2"/>
          </rPr>
          <t>Macabacus:</t>
        </r>
        <r>
          <rPr>
            <sz val="9"/>
            <color indexed="81"/>
            <rFont val="Tahoma"/>
            <family val="2"/>
          </rPr>
          <t xml:space="preserve">
The issuance fee on debt instruments is capitalized.</t>
        </r>
      </text>
    </comment>
    <comment ref="L1298" authorId="0" shapeId="0" xr:uid="{00000000-0006-0000-0100-000045000000}">
      <text>
        <r>
          <rPr>
            <b/>
            <sz val="9"/>
            <color indexed="81"/>
            <rFont val="Tahoma"/>
            <family val="2"/>
          </rPr>
          <t>Macabacus:</t>
        </r>
        <r>
          <rPr>
            <sz val="9"/>
            <color indexed="81"/>
            <rFont val="Tahoma"/>
            <family val="2"/>
          </rPr>
          <t xml:space="preserve">
The issuance fee on preferred and common stock is netted against proceeds and is reflected as a reduction in APIC.</t>
        </r>
      </text>
    </comment>
    <comment ref="M1298" authorId="0" shapeId="0" xr:uid="{00000000-0006-0000-0100-000046000000}">
      <text>
        <r>
          <rPr>
            <b/>
            <sz val="9"/>
            <color indexed="81"/>
            <rFont val="Tahoma"/>
            <family val="2"/>
          </rPr>
          <t>Macabacus:</t>
        </r>
        <r>
          <rPr>
            <sz val="9"/>
            <color indexed="81"/>
            <rFont val="Tahoma"/>
            <family val="2"/>
          </rPr>
          <t xml:space="preserve">
Enter zero for floating rates.</t>
        </r>
      </text>
    </comment>
    <comment ref="N1298" authorId="0" shapeId="0" xr:uid="{00000000-0006-0000-0100-000047000000}">
      <text>
        <r>
          <rPr>
            <b/>
            <sz val="9"/>
            <color indexed="81"/>
            <rFont val="Tahoma"/>
            <family val="2"/>
          </rPr>
          <t>Macabacus:</t>
        </r>
        <r>
          <rPr>
            <sz val="9"/>
            <color indexed="81"/>
            <rFont val="Tahoma"/>
            <family val="2"/>
          </rPr>
          <t xml:space="preserve">
Enter zero for fixed rates.</t>
        </r>
      </text>
    </comment>
    <comment ref="Q1298" authorId="0" shapeId="0" xr:uid="{00000000-0006-0000-0100-000048000000}">
      <text>
        <r>
          <rPr>
            <b/>
            <sz val="9"/>
            <color indexed="81"/>
            <rFont val="Tahoma"/>
            <family val="2"/>
          </rPr>
          <t>Macacbacus:</t>
        </r>
        <r>
          <rPr>
            <sz val="9"/>
            <color indexed="81"/>
            <rFont val="Tahoma"/>
            <family val="2"/>
          </rPr>
          <t xml:space="preserve">
Revolver and preferred have no scheduled amortization.</t>
        </r>
      </text>
    </comment>
    <comment ref="R1298" authorId="0" shapeId="0" xr:uid="{00000000-0006-0000-0100-000049000000}">
      <text>
        <r>
          <rPr>
            <b/>
            <sz val="9"/>
            <color indexed="81"/>
            <rFont val="Tahoma"/>
            <family val="2"/>
          </rPr>
          <t>Macabacus:</t>
        </r>
        <r>
          <rPr>
            <sz val="9"/>
            <color indexed="81"/>
            <rFont val="Tahoma"/>
            <family val="2"/>
          </rPr>
          <t xml:space="preserve">
This is the year in which the debt (or majority of the debt) must be repaid.</t>
        </r>
      </text>
    </comment>
    <comment ref="S1298" authorId="0" shapeId="0" xr:uid="{00000000-0006-0000-0100-00004A000000}">
      <text>
        <r>
          <rPr>
            <b/>
            <sz val="9"/>
            <color indexed="81"/>
            <rFont val="Tahoma"/>
            <family val="2"/>
          </rPr>
          <t>Macabacus:</t>
        </r>
        <r>
          <rPr>
            <sz val="9"/>
            <color indexed="81"/>
            <rFont val="Tahoma"/>
            <family val="2"/>
          </rPr>
          <t xml:space="preserve">
Assume 100% for revolver.</t>
        </r>
      </text>
    </comment>
    <comment ref="K1301" authorId="0" shapeId="0" xr:uid="{00000000-0006-0000-0100-00004B000000}">
      <text>
        <r>
          <rPr>
            <b/>
            <sz val="9"/>
            <color indexed="81"/>
            <rFont val="Tahoma"/>
            <family val="2"/>
          </rPr>
          <t>Macabacus:</t>
        </r>
        <r>
          <rPr>
            <sz val="9"/>
            <color indexed="81"/>
            <rFont val="Tahoma"/>
            <family val="2"/>
          </rPr>
          <t xml:space="preserve">
The revolver financing fee is based on the size of the facility, not the balance drawn.</t>
        </r>
      </text>
    </comment>
    <comment ref="F1328" authorId="0" shapeId="0" xr:uid="{00000000-0006-0000-0100-00004C000000}">
      <text>
        <r>
          <rPr>
            <b/>
            <sz val="9"/>
            <color indexed="81"/>
            <rFont val="Tahoma"/>
            <family val="2"/>
          </rPr>
          <t>Macabacus:</t>
        </r>
        <r>
          <rPr>
            <sz val="9"/>
            <color indexed="81"/>
            <rFont val="Tahoma"/>
            <family val="2"/>
          </rPr>
          <t xml:space="preserve">
Only write off purchase accounting-related intangibles.  For our purposes, we assume that only goodwill falls into this category.</t>
        </r>
      </text>
    </comment>
    <comment ref="L1332" authorId="0" shapeId="0" xr:uid="{00000000-0006-0000-0100-00004D000000}">
      <text>
        <r>
          <rPr>
            <b/>
            <sz val="9"/>
            <color indexed="81"/>
            <rFont val="Tahoma"/>
            <family val="2"/>
          </rPr>
          <t>Macabacus:</t>
        </r>
        <r>
          <rPr>
            <sz val="9"/>
            <color indexed="81"/>
            <rFont val="Tahoma"/>
            <family val="2"/>
          </rPr>
          <t xml:space="preserve">
Assume income tax receivable from expenses booked at close is immediately recognized as a cash tax refund.</t>
        </r>
      </text>
    </comment>
    <comment ref="M1332" authorId="0" shapeId="0" xr:uid="{00000000-0006-0000-0100-00004E000000}">
      <text>
        <r>
          <rPr>
            <b/>
            <sz val="9"/>
            <color indexed="81"/>
            <rFont val="Tahoma"/>
            <family val="2"/>
          </rPr>
          <t>Macabacus:</t>
        </r>
        <r>
          <rPr>
            <sz val="9"/>
            <color indexed="81"/>
            <rFont val="Tahoma"/>
            <family val="2"/>
          </rPr>
          <t xml:space="preserve">
Assume income tax receivable from expenses booked at close is immediately recognized as a cash tax refund.</t>
        </r>
      </text>
    </comment>
    <comment ref="N1332" authorId="0" shapeId="0" xr:uid="{00000000-0006-0000-0100-00004F000000}">
      <text>
        <r>
          <rPr>
            <b/>
            <sz val="9"/>
            <color indexed="81"/>
            <rFont val="Tahoma"/>
            <family val="2"/>
          </rPr>
          <t>Macabacus:</t>
        </r>
        <r>
          <rPr>
            <sz val="9"/>
            <color indexed="81"/>
            <rFont val="Tahoma"/>
            <family val="2"/>
          </rPr>
          <t xml:space="preserve">
Includes new debt, preferred stock, and sponsor equity.</t>
        </r>
      </text>
    </comment>
    <comment ref="M1369" authorId="0" shapeId="0" xr:uid="{00000000-0006-0000-0100-000050000000}">
      <text>
        <r>
          <rPr>
            <b/>
            <sz val="9"/>
            <color indexed="81"/>
            <rFont val="Tahoma"/>
            <family val="2"/>
          </rPr>
          <t>Macabacus:</t>
        </r>
        <r>
          <rPr>
            <sz val="9"/>
            <color indexed="81"/>
            <rFont val="Tahoma"/>
            <family val="2"/>
          </rPr>
          <t xml:space="preserve">
Reverse any DTA/DTL resulting from marking debt to face value if the debt is converted or repaid at close.</t>
        </r>
      </text>
    </comment>
    <comment ref="N1369" authorId="0" shapeId="0" xr:uid="{00000000-0006-0000-0100-000051000000}">
      <text>
        <r>
          <rPr>
            <b/>
            <sz val="9"/>
            <color indexed="81"/>
            <rFont val="Tahoma"/>
            <family val="2"/>
          </rPr>
          <t>Macabacus:</t>
        </r>
        <r>
          <rPr>
            <sz val="9"/>
            <color indexed="81"/>
            <rFont val="Tahoma"/>
            <family val="2"/>
          </rPr>
          <t xml:space="preserve">
DTL related to capitalized financing costs.  The DTL arises because these costs are capitalized for book purposes, but not tax purposes.</t>
        </r>
      </text>
    </comment>
    <comment ref="N1373" authorId="0" shapeId="0" xr:uid="{00000000-0006-0000-0100-000052000000}">
      <text>
        <r>
          <rPr>
            <b/>
            <sz val="9"/>
            <color indexed="81"/>
            <rFont val="Tahoma"/>
            <family val="2"/>
          </rPr>
          <t>Macabacus:</t>
        </r>
        <r>
          <rPr>
            <sz val="9"/>
            <color indexed="81"/>
            <rFont val="Tahoma"/>
            <family val="2"/>
          </rPr>
          <t xml:space="preserve">
Face amount less any OID.</t>
        </r>
      </text>
    </comment>
    <comment ref="N1374" authorId="0" shapeId="0" xr:uid="{00000000-0006-0000-0100-000053000000}">
      <text>
        <r>
          <rPr>
            <b/>
            <sz val="9"/>
            <color indexed="81"/>
            <rFont val="Tahoma"/>
            <family val="2"/>
          </rPr>
          <t>Macabacus:</t>
        </r>
        <r>
          <rPr>
            <sz val="9"/>
            <color indexed="81"/>
            <rFont val="Tahoma"/>
            <family val="2"/>
          </rPr>
          <t xml:space="preserve">
Face amount less any OID.</t>
        </r>
      </text>
    </comment>
    <comment ref="J1376" authorId="0" shapeId="0" xr:uid="{00000000-0006-0000-0100-000054000000}">
      <text>
        <r>
          <rPr>
            <b/>
            <sz val="9"/>
            <color indexed="81"/>
            <rFont val="Tahoma"/>
            <family val="2"/>
          </rPr>
          <t>Macabacus:</t>
        </r>
        <r>
          <rPr>
            <sz val="9"/>
            <color indexed="81"/>
            <rFont val="Tahoma"/>
            <family val="2"/>
          </rPr>
          <t xml:space="preserve">
Includes APIC from any conversion of legacy convertible debt or preferred stock.</t>
        </r>
      </text>
    </comment>
    <comment ref="N1376" authorId="0" shapeId="0" xr:uid="{00000000-0006-0000-0100-000055000000}">
      <text>
        <r>
          <rPr>
            <b/>
            <sz val="9"/>
            <color indexed="81"/>
            <rFont val="Tahoma"/>
            <family val="2"/>
          </rPr>
          <t>Macabacus:</t>
        </r>
        <r>
          <rPr>
            <sz val="9"/>
            <color indexed="81"/>
            <rFont val="Tahoma"/>
            <family val="2"/>
          </rPr>
          <t xml:space="preserve">
Sponsor equity less after-tax fees on any preferred stock issuance.  Preferred stock financing fees reduce APIC.</t>
        </r>
      </text>
    </comment>
    <comment ref="L1377" authorId="0" shapeId="0" xr:uid="{00000000-0006-0000-0100-000056000000}">
      <text>
        <r>
          <rPr>
            <b/>
            <sz val="9"/>
            <color indexed="81"/>
            <rFont val="Tahoma"/>
            <family val="2"/>
          </rPr>
          <t>Macabacus:</t>
        </r>
        <r>
          <rPr>
            <sz val="9"/>
            <color indexed="81"/>
            <rFont val="Tahoma"/>
            <family val="2"/>
          </rPr>
          <t xml:space="preserve">
After-tax transaction costs expensed at close.</t>
        </r>
      </text>
    </comment>
    <comment ref="M1377" authorId="0" shapeId="0" xr:uid="{00000000-0006-0000-0100-000057000000}">
      <text>
        <r>
          <rPr>
            <b/>
            <sz val="9"/>
            <color indexed="81"/>
            <rFont val="Tahoma"/>
            <family val="2"/>
          </rPr>
          <t>Macabacus:</t>
        </r>
        <r>
          <rPr>
            <sz val="9"/>
            <color indexed="81"/>
            <rFont val="Tahoma"/>
            <family val="2"/>
          </rPr>
          <t xml:space="preserve">
After-tax prepayment penalties expensed at close.</t>
        </r>
      </text>
    </comment>
    <comment ref="K1464" authorId="0" shapeId="0" xr:uid="{00000000-0006-0000-0100-000058000000}">
      <text>
        <r>
          <rPr>
            <b/>
            <sz val="9"/>
            <color indexed="81"/>
            <rFont val="Tahoma"/>
            <family val="2"/>
          </rPr>
          <t>Macabacus:</t>
        </r>
        <r>
          <rPr>
            <sz val="9"/>
            <color indexed="81"/>
            <rFont val="Tahoma"/>
            <family val="2"/>
          </rPr>
          <t xml:space="preserve">
Use book value as a proxy for market value, except in distressed situations.  Be sure to treat convertible debt as equity when in-the-money, thereby increasing FDSO and reducing debt.</t>
        </r>
      </text>
    </comment>
    <comment ref="K1465" authorId="0" shapeId="0" xr:uid="{00000000-0006-0000-0100-000059000000}">
      <text>
        <r>
          <rPr>
            <b/>
            <sz val="9"/>
            <color indexed="81"/>
            <rFont val="Tahoma"/>
            <family val="2"/>
          </rPr>
          <t>Macabacus:</t>
        </r>
        <r>
          <rPr>
            <sz val="9"/>
            <color indexed="81"/>
            <rFont val="Tahoma"/>
            <family val="2"/>
          </rPr>
          <t xml:space="preserve">
Use book value as a proxy for market value, except in distressed situations.</t>
        </r>
      </text>
    </comment>
    <comment ref="K1471" authorId="0" shapeId="0" xr:uid="{00000000-0006-0000-0100-00005A000000}">
      <text>
        <r>
          <rPr>
            <b/>
            <sz val="9"/>
            <color indexed="81"/>
            <rFont val="Tahoma"/>
            <family val="2"/>
          </rPr>
          <t>Macabacus:</t>
        </r>
        <r>
          <rPr>
            <sz val="9"/>
            <color indexed="81"/>
            <rFont val="Tahoma"/>
            <family val="2"/>
          </rPr>
          <t xml:space="preserve">
This is the beta relevered for the post-transaction, targeted capital structure.</t>
        </r>
      </text>
    </comment>
    <comment ref="J1475" authorId="0" shapeId="0" xr:uid="{00000000-0006-0000-0100-00005B000000}">
      <text>
        <r>
          <rPr>
            <b/>
            <sz val="9"/>
            <color indexed="81"/>
            <rFont val="Tahoma"/>
            <family val="2"/>
          </rPr>
          <t>Macabacus:</t>
        </r>
        <r>
          <rPr>
            <sz val="9"/>
            <color indexed="81"/>
            <rFont val="Tahoma"/>
            <family val="2"/>
          </rPr>
          <t xml:space="preserve">
For costs of debt capital, use an after-tax rate to account for the benefit of interest tax shields.</t>
        </r>
      </text>
    </comment>
    <comment ref="B1543" authorId="0" shapeId="0" xr:uid="{00000000-0006-0000-0100-00005C000000}">
      <text>
        <r>
          <rPr>
            <b/>
            <sz val="9"/>
            <color indexed="81"/>
            <rFont val="Tahoma"/>
            <family val="2"/>
          </rPr>
          <t>Macabacus:</t>
        </r>
        <r>
          <rPr>
            <sz val="9"/>
            <color indexed="81"/>
            <rFont val="Tahoma"/>
            <family val="2"/>
          </rPr>
          <t xml:space="preserve">
Otherwise known as "prepayment penalties" or "take-out premiums."
The prepayment premium could be calculated on the face value of the original investment, or, in the case of PIK instruments, on the accrued balance.  This depends on the specific terms of the instrument.  Our calculations below assume that the penalty is computed on the accrued balance.
Also, the magnitude of the penalty may change over time, often decreasing with time.  This also depends on the specific terms of the instrument.</t>
        </r>
      </text>
    </comment>
    <comment ref="B1562" authorId="0" shapeId="0" xr:uid="{00000000-0006-0000-0100-00005D000000}">
      <text>
        <r>
          <rPr>
            <b/>
            <sz val="9"/>
            <color indexed="81"/>
            <rFont val="Tahoma"/>
            <family val="2"/>
          </rPr>
          <t>Macabacus:</t>
        </r>
        <r>
          <rPr>
            <sz val="9"/>
            <color indexed="81"/>
            <rFont val="Tahoma"/>
            <family val="2"/>
          </rPr>
          <t xml:space="preserve">
Includes any PIK accrual.</t>
        </r>
      </text>
    </comment>
    <comment ref="B1575" authorId="0" shapeId="0" xr:uid="{00000000-0006-0000-0100-00005E000000}">
      <text>
        <r>
          <rPr>
            <b/>
            <sz val="9"/>
            <color indexed="81"/>
            <rFont val="Tahoma"/>
            <family val="2"/>
          </rPr>
          <t>Macabacus:</t>
        </r>
        <r>
          <rPr>
            <sz val="9"/>
            <color indexed="81"/>
            <rFont val="Tahoma"/>
            <family val="2"/>
          </rPr>
          <t xml:space="preserve">
Includes any PIK accrual.</t>
        </r>
      </text>
    </comment>
    <comment ref="B1587" authorId="0" shapeId="0" xr:uid="{00000000-0006-0000-0100-00005F000000}">
      <text>
        <r>
          <rPr>
            <b/>
            <sz val="9"/>
            <color indexed="81"/>
            <rFont val="Tahoma"/>
            <family val="2"/>
          </rPr>
          <t>Macabacus:</t>
        </r>
        <r>
          <rPr>
            <sz val="9"/>
            <color indexed="81"/>
            <rFont val="Tahoma"/>
            <family val="2"/>
          </rPr>
          <t xml:space="preserve">
Includes any PIK accrual.</t>
        </r>
      </text>
    </comment>
    <comment ref="B1599" authorId="0" shapeId="0" xr:uid="{00000000-0006-0000-0100-000060000000}">
      <text>
        <r>
          <rPr>
            <b/>
            <sz val="9"/>
            <color indexed="81"/>
            <rFont val="Tahoma"/>
            <family val="2"/>
          </rPr>
          <t>Macabacus:</t>
        </r>
        <r>
          <rPr>
            <sz val="9"/>
            <color indexed="81"/>
            <rFont val="Tahoma"/>
            <family val="2"/>
          </rPr>
          <t xml:space="preserve">
Includes any PIK accrual.</t>
        </r>
      </text>
    </comment>
  </commentList>
</comments>
</file>

<file path=xl/sharedStrings.xml><?xml version="1.0" encoding="utf-8"?>
<sst xmlns="http://schemas.openxmlformats.org/spreadsheetml/2006/main" count="1364" uniqueCount="755">
  <si>
    <t>($ in millions, except per share data)</t>
  </si>
  <si>
    <t>Convert 1</t>
  </si>
  <si>
    <t>NA</t>
  </si>
  <si>
    <t>Number of</t>
  </si>
  <si>
    <t>Average</t>
  </si>
  <si>
    <t>Treasury</t>
  </si>
  <si>
    <t>Options (m)</t>
  </si>
  <si>
    <t>Strike</t>
  </si>
  <si>
    <t>Shares</t>
  </si>
  <si>
    <t>Tranche 1</t>
  </si>
  <si>
    <t>Tranche 2</t>
  </si>
  <si>
    <t>Tranche 3</t>
  </si>
  <si>
    <t>Tranche 4</t>
  </si>
  <si>
    <t>Tranche 5</t>
  </si>
  <si>
    <t>Tranche 6</t>
  </si>
  <si>
    <t>Tranche 7</t>
  </si>
  <si>
    <t>Tranche 8</t>
  </si>
  <si>
    <t>Tranche 9</t>
  </si>
  <si>
    <t>Tranche 10</t>
  </si>
  <si>
    <t>Total</t>
  </si>
  <si>
    <t>Revenue</t>
  </si>
  <si>
    <t>EBITDA</t>
  </si>
  <si>
    <t>Options</t>
  </si>
  <si>
    <t>Pro Forma</t>
  </si>
  <si>
    <t>Financing</t>
  </si>
  <si>
    <t>Assets</t>
  </si>
  <si>
    <t>Revolver</t>
  </si>
  <si>
    <t>Convertible Debt</t>
  </si>
  <si>
    <t>COGS</t>
  </si>
  <si>
    <t>SG&amp;A</t>
  </si>
  <si>
    <t>EBIT</t>
  </si>
  <si>
    <t>EBITA</t>
  </si>
  <si>
    <t>Capex</t>
  </si>
  <si>
    <t>Depreciation</t>
  </si>
  <si>
    <t>Amortization</t>
  </si>
  <si>
    <t>Terminal EBITDA Multiple</t>
  </si>
  <si>
    <t>Discount</t>
  </si>
  <si>
    <t>Rate</t>
  </si>
  <si>
    <t>(WACC)</t>
  </si>
  <si>
    <t>Implied Perpetuity Growth Rate</t>
  </si>
  <si>
    <t>Terminal Perpetuity Growth Rate</t>
  </si>
  <si>
    <t>Implied Terminal EBITDA Multiple</t>
  </si>
  <si>
    <t>% of</t>
  </si>
  <si>
    <t>Mult. of</t>
  </si>
  <si>
    <t>Sources of Funds</t>
  </si>
  <si>
    <t>Mezzanine</t>
  </si>
  <si>
    <t>Metric</t>
  </si>
  <si>
    <t>Multiple</t>
  </si>
  <si>
    <t>Preferred</t>
  </si>
  <si>
    <t>LTM Sales</t>
  </si>
  <si>
    <t>Preferred Stock - A</t>
  </si>
  <si>
    <t>Preferred Stock - B</t>
  </si>
  <si>
    <t>LTM EBITDA</t>
  </si>
  <si>
    <t>Uses of Funds</t>
  </si>
  <si>
    <t>Amount</t>
  </si>
  <si>
    <t>Calendarization / Timing</t>
  </si>
  <si>
    <t>Summary Credit Statistics</t>
  </si>
  <si>
    <t>Other Switches / Assumptions</t>
  </si>
  <si>
    <t>LTM</t>
  </si>
  <si>
    <t>Leverage Statistics</t>
  </si>
  <si>
    <t>Interest Coverage</t>
  </si>
  <si>
    <t>Closing</t>
  </si>
  <si>
    <t>Debt Summary</t>
  </si>
  <si>
    <t>Returns</t>
  </si>
  <si>
    <t>Working Capital Assumptions</t>
  </si>
  <si>
    <t>Pre-Deal</t>
  </si>
  <si>
    <t>Equity Value Calculation</t>
  </si>
  <si>
    <t>Cash Flows to Contributors of Capital</t>
  </si>
  <si>
    <t>Income Statement</t>
  </si>
  <si>
    <t>Ending</t>
  </si>
  <si>
    <t>Net Sales</t>
  </si>
  <si>
    <t>Amortization of Capitalized Financing Costs</t>
  </si>
  <si>
    <t>Historical</t>
  </si>
  <si>
    <t>Sales</t>
  </si>
  <si>
    <t>Balance Sheet</t>
  </si>
  <si>
    <t>Inventories</t>
  </si>
  <si>
    <t>PP&amp;E, gross</t>
  </si>
  <si>
    <t>PP&amp;E, net</t>
  </si>
  <si>
    <t>Goodwill, net</t>
  </si>
  <si>
    <t>Liabilities &amp; Shareholders' Equity</t>
  </si>
  <si>
    <t>Cash Flow Statement</t>
  </si>
  <si>
    <t>Operating Activities</t>
  </si>
  <si>
    <t>Investing Activities</t>
  </si>
  <si>
    <t>Financing Activities</t>
  </si>
  <si>
    <t>Debt Schedule</t>
  </si>
  <si>
    <t>Balance</t>
  </si>
  <si>
    <t>PP&amp;E</t>
  </si>
  <si>
    <t>Depreciation of Capital Expenditures</t>
  </si>
  <si>
    <t>Expense</t>
  </si>
  <si>
    <t>Operating Assumptions</t>
  </si>
  <si>
    <t>Management Case</t>
  </si>
  <si>
    <t>Analyst Case</t>
  </si>
  <si>
    <t>Downside Case</t>
  </si>
  <si>
    <t>COGS (% of Sales)</t>
  </si>
  <si>
    <t>SG&amp;A (% of Sales)</t>
  </si>
  <si>
    <t>Financing Scenarios</t>
  </si>
  <si>
    <t>Case</t>
  </si>
  <si>
    <t>Description</t>
  </si>
  <si>
    <t>No deal</t>
  </si>
  <si>
    <t>Refi A</t>
  </si>
  <si>
    <t>Refi B</t>
  </si>
  <si>
    <t>LBO A</t>
  </si>
  <si>
    <t>LBO B</t>
  </si>
  <si>
    <t>LBO C</t>
  </si>
  <si>
    <t>LBO?</t>
  </si>
  <si>
    <t>Accounting</t>
  </si>
  <si>
    <t>Annual</t>
  </si>
  <si>
    <t>WACC</t>
  </si>
  <si>
    <t>Unlever Beta</t>
  </si>
  <si>
    <t>CAPM Calculation</t>
  </si>
  <si>
    <t>WACC Computation</t>
  </si>
  <si>
    <t>Model Detail</t>
  </si>
  <si>
    <t>www.macacbacus.com</t>
  </si>
  <si>
    <t>Equity purchase price</t>
  </si>
  <si>
    <t>Excess purchase price to allocate</t>
  </si>
  <si>
    <t>Goodwill created</t>
  </si>
  <si>
    <t>Model created / modified by:</t>
  </si>
  <si>
    <t>Minority interest</t>
  </si>
  <si>
    <t>Convertible debt</t>
  </si>
  <si>
    <t>Non-convertible debt</t>
  </si>
  <si>
    <t>Total debt and minority interest</t>
  </si>
  <si>
    <t>( – ) Cash &amp; cash equivalents</t>
  </si>
  <si>
    <t>Net debt</t>
  </si>
  <si>
    <t>Face value</t>
  </si>
  <si>
    <t>Conversion price</t>
  </si>
  <si>
    <t>Convertible shares</t>
  </si>
  <si>
    <t>Sources and uses balance</t>
  </si>
  <si>
    <t>Balance sheet balances</t>
  </si>
  <si>
    <t>Error message</t>
  </si>
  <si>
    <t>Pro forma enterprise value</t>
  </si>
  <si>
    <t>( + ) In-the-money convertible shares</t>
  </si>
  <si>
    <t>Basic shares outstanding (BSO)</t>
  </si>
  <si>
    <t>Fully diluted shares outstanding (FDSO)</t>
  </si>
  <si>
    <t>Offer price per share</t>
  </si>
  <si>
    <t>Sales growth</t>
  </si>
  <si>
    <t>COGS / sales</t>
  </si>
  <si>
    <t>SG&amp;A / sales</t>
  </si>
  <si>
    <t>EBITDA margin</t>
  </si>
  <si>
    <t>EBITA margin</t>
  </si>
  <si>
    <t>Stock-based compensation / sales</t>
  </si>
  <si>
    <t>EBIT margin</t>
  </si>
  <si>
    <t>Debt assumed</t>
  </si>
  <si>
    <t>GAAP net margin</t>
  </si>
  <si>
    <t>Other (income) / expense</t>
  </si>
  <si>
    <t>Income before tax</t>
  </si>
  <si>
    <t>Sponsor management fee</t>
  </si>
  <si>
    <t>Amortization of capitalized financing costs</t>
  </si>
  <si>
    <t>Interest expense</t>
  </si>
  <si>
    <t>Stock-based compensation</t>
  </si>
  <si>
    <t>Cash &amp; equivalents</t>
  </si>
  <si>
    <t>Accounts receivable</t>
  </si>
  <si>
    <t>Prepaid expenses &amp; other</t>
  </si>
  <si>
    <t>Total current assets</t>
  </si>
  <si>
    <t>( – ) Accumluated depreciation</t>
  </si>
  <si>
    <t>Short-term debt</t>
  </si>
  <si>
    <t>Accounts payable</t>
  </si>
  <si>
    <t>Accrued liabilities</t>
  </si>
  <si>
    <t>Client deposits</t>
  </si>
  <si>
    <t>Other current liabilities</t>
  </si>
  <si>
    <t>Total current liabilities</t>
  </si>
  <si>
    <t>Noncontrolling (minority) interest</t>
  </si>
  <si>
    <t>Retained earnings</t>
  </si>
  <si>
    <t>Total shareholders' equity</t>
  </si>
  <si>
    <t>Liabilities &amp; shareholders' equity</t>
  </si>
  <si>
    <t>Total debt</t>
  </si>
  <si>
    <t>Existing LT debt (excl. current portion)</t>
  </si>
  <si>
    <t>Other long-term liabilities</t>
  </si>
  <si>
    <t>Capital leases</t>
  </si>
  <si>
    <t>Net working capital</t>
  </si>
  <si>
    <t>Amortization of intangibles</t>
  </si>
  <si>
    <t>Income statement adjustments</t>
  </si>
  <si>
    <t>(Increase) / decrease in working capital</t>
  </si>
  <si>
    <t>Balance sheet adjustments</t>
  </si>
  <si>
    <t>Cash flow from operating activities</t>
  </si>
  <si>
    <t>Capital expenditures</t>
  </si>
  <si>
    <t>Proceeds from the sale of assets</t>
  </si>
  <si>
    <t>Cash flow from investing activities</t>
  </si>
  <si>
    <t>Cash flow from financing activities</t>
  </si>
  <si>
    <t>Change in cash</t>
  </si>
  <si>
    <t>Cash flow available for debt repayment</t>
  </si>
  <si>
    <t>Assumed debt</t>
  </si>
  <si>
    <t>( – ) Minimum cash balance</t>
  </si>
  <si>
    <t>Beginning cash balance</t>
  </si>
  <si>
    <t>Excess cash / (cash deficit)</t>
  </si>
  <si>
    <t>Optional debt repayment</t>
  </si>
  <si>
    <t>Check that balance sheet balances</t>
  </si>
  <si>
    <t>Gross margin</t>
  </si>
  <si>
    <t>Tax rate</t>
  </si>
  <si>
    <t>Cash net margin</t>
  </si>
  <si>
    <t>Gross profit</t>
  </si>
  <si>
    <t>Capex / sales</t>
  </si>
  <si>
    <t>MRQ date</t>
  </si>
  <si>
    <t>Market date</t>
  </si>
  <si>
    <t>MRQ</t>
  </si>
  <si>
    <t>Standalone</t>
  </si>
  <si>
    <t>at Close</t>
  </si>
  <si>
    <t>Quarterly Rollforward</t>
  </si>
  <si>
    <t>Working Capital Drivers</t>
  </si>
  <si>
    <t>Equity investments</t>
  </si>
  <si>
    <t>Capitalized financing costs</t>
  </si>
  <si>
    <t>Intangible assets, net</t>
  </si>
  <si>
    <t>Operating rights, net</t>
  </si>
  <si>
    <t>Other long-term assets</t>
  </si>
  <si>
    <t>Total assets</t>
  </si>
  <si>
    <t>Total liabilities</t>
  </si>
  <si>
    <t>Check that sources equal uses</t>
  </si>
  <si>
    <t>( – ) Cash</t>
  </si>
  <si>
    <t>Increase / (decrease) in working capital</t>
  </si>
  <si>
    <t>Subordinated debt</t>
  </si>
  <si>
    <t>Preferred stock</t>
  </si>
  <si>
    <t>Preferred dividends</t>
  </si>
  <si>
    <t>Cash interest expense</t>
  </si>
  <si>
    <t>Close date</t>
  </si>
  <si>
    <t>Calendar quarter in which fiscal year ends</t>
  </si>
  <si>
    <t>GAAP accretion / (dilution) ($)</t>
  </si>
  <si>
    <t>GAAP accretion / (dilution) (%)</t>
  </si>
  <si>
    <t>Cash accretion / (dilution) ($)</t>
  </si>
  <si>
    <t>Cash accretion / (dilution) (%)</t>
  </si>
  <si>
    <t>Last FYE</t>
  </si>
  <si>
    <t>Next FYE after transaction close</t>
  </si>
  <si>
    <t>Calendar year of transaction close</t>
  </si>
  <si>
    <t>Calendar quarter of transaction close</t>
  </si>
  <si>
    <t xml:space="preserve">Quarters between close and next FYE </t>
  </si>
  <si>
    <t>Fractional years</t>
  </si>
  <si>
    <t>MRQ+1</t>
  </si>
  <si>
    <t>MRQ+2</t>
  </si>
  <si>
    <t>MRQ+3</t>
  </si>
  <si>
    <t>MRQ+4</t>
  </si>
  <si>
    <t>Total optional debt repayment</t>
  </si>
  <si>
    <t>( – ) Taxes</t>
  </si>
  <si>
    <t>( + ) Depreciation</t>
  </si>
  <si>
    <t>Unlevered net income</t>
  </si>
  <si>
    <t>( – ) Capital expenditures</t>
  </si>
  <si>
    <t>( – ) Change in working capital</t>
  </si>
  <si>
    <t>( – ) Change in deferred taxes</t>
  </si>
  <si>
    <t>Unlevered free cash flow</t>
  </si>
  <si>
    <t>Total annual amortization</t>
  </si>
  <si>
    <t>( x ) Tax rate</t>
  </si>
  <si>
    <t>Useful life (yrs)</t>
  </si>
  <si>
    <t>Salvage value</t>
  </si>
  <si>
    <t>FDSO</t>
  </si>
  <si>
    <t>Close</t>
  </si>
  <si>
    <t>Depreciation (straight-line)</t>
  </si>
  <si>
    <t>Depreciation of existing fixed assets</t>
  </si>
  <si>
    <t>Depreciation of capex</t>
  </si>
  <si>
    <t>Depreciation / sales</t>
  </si>
  <si>
    <t>($ in millions)</t>
  </si>
  <si>
    <t>Amortization / sales</t>
  </si>
  <si>
    <t>Cumulative fractional years from close</t>
  </si>
  <si>
    <t>Check that XNPV yields same result as formulas below</t>
  </si>
  <si>
    <t>DCF Sensitivity – EBITDA Multiple Method</t>
  </si>
  <si>
    <t>DCF Sensitivity – Perpetuity Growth Method</t>
  </si>
  <si>
    <t>Enterprise Value</t>
  </si>
  <si>
    <t>Equity Value</t>
  </si>
  <si>
    <t>NOTE:  Enterprise value can be computed more simply using TABLEs sensitizing the XNPV result to the WACC and terminal multiple, but TABLEs were purposefully avoided to illustrate how this sensitivity can be performed without TABLEs, which are slow to calculate.</t>
  </si>
  <si>
    <t>NOTE:  Enterprise value can be computed more simply using TABLEs sensitizing the XNPV result to the WACC and terminal growth rate, but TABLEs were purposefully avoided to illustrate how this sensitivity can be performed without TABLEs, which are slow to calculate.</t>
  </si>
  <si>
    <t>DCF valuation (XNPV) – EBITDA multiple method</t>
  </si>
  <si>
    <t>DCF valuation (XNPV) – perpetuity growth method</t>
  </si>
  <si>
    <t>Total cash flow – EBITDA multiple method</t>
  </si>
  <si>
    <t>Total cash flow – perpetuity growth method</t>
  </si>
  <si>
    <t>Unlevered Free Cash Flow (UFCF)</t>
  </si>
  <si>
    <t>DCF Valuation – XNPV Method</t>
  </si>
  <si>
    <t>Undrawn revolver balance</t>
  </si>
  <si>
    <t>Undrawn commitment fee</t>
  </si>
  <si>
    <t>Purchase price</t>
  </si>
  <si>
    <t>( x ) IRS long-term tax-exempt rate</t>
  </si>
  <si>
    <t>Value Per Share</t>
  </si>
  <si>
    <t>Deferred tax asset, current</t>
  </si>
  <si>
    <t>Net Working Capital</t>
  </si>
  <si>
    <t>Non-debt current liabilities</t>
  </si>
  <si>
    <t>Non-cash current assets</t>
  </si>
  <si>
    <t>Quarter</t>
  </si>
  <si>
    <t>Transaction DTL</t>
  </si>
  <si>
    <t>Transaction DTA</t>
  </si>
  <si>
    <t>[Asset 3]</t>
  </si>
  <si>
    <t>[Liability 1]</t>
  </si>
  <si>
    <t>[Liability 2]</t>
  </si>
  <si>
    <t>Identifiable intangibles</t>
  </si>
  <si>
    <t>[Liability 3]</t>
  </si>
  <si>
    <t>DTA attributable to NOL</t>
  </si>
  <si>
    <t>Purchase Price Allocation</t>
  </si>
  <si>
    <t>Write down DTA attributable to NOL (Section 382)</t>
  </si>
  <si>
    <t>( – ) Book value</t>
  </si>
  <si>
    <t>( – ) Book value adjustments</t>
  </si>
  <si>
    <t>Write off existing goodwill</t>
  </si>
  <si>
    <t>Fair value adjustments</t>
  </si>
  <si>
    <t>Write off purchase accounting-related intangibles</t>
  </si>
  <si>
    <t>Existing intangibles related to purch. accounting (%)</t>
  </si>
  <si>
    <t>Write off DTL related to purch. accnt. intangibles</t>
  </si>
  <si>
    <t>( + ) Bargain purchase gain</t>
  </si>
  <si>
    <t>Excess purchase price after allocation</t>
  </si>
  <si>
    <t>Existing DTA attributable to NOL</t>
  </si>
  <si>
    <t>Valuation</t>
  </si>
  <si>
    <t>Offer premium to market</t>
  </si>
  <si>
    <t>Current stock price</t>
  </si>
  <si>
    <t>Average interest?</t>
  </si>
  <si>
    <t>( + ) Net debt</t>
  </si>
  <si>
    <t>Scheduled Debt Amortization</t>
  </si>
  <si>
    <t>Excess cash</t>
  </si>
  <si>
    <t>Seller note</t>
  </si>
  <si>
    <t>Subordinated note</t>
  </si>
  <si>
    <t>Term loan - A</t>
  </si>
  <si>
    <t>Term loan - B</t>
  </si>
  <si>
    <t>Preferred stock - A</t>
  </si>
  <si>
    <t>Preferred stock - B</t>
  </si>
  <si>
    <t>Senior note</t>
  </si>
  <si>
    <t>Minimum cash balance</t>
  </si>
  <si>
    <t>Identifiable intangible asset amortization / accretion schedule</t>
  </si>
  <si>
    <t>Identifiable intangible asset amortization period (yrs)</t>
  </si>
  <si>
    <t>EBITDA multiple method</t>
  </si>
  <si>
    <t>( x ) Forward EBITDA multiple</t>
  </si>
  <si>
    <t>( – ) Net debt</t>
  </si>
  <si>
    <t>Equity value used in calculating equity returns</t>
  </si>
  <si>
    <t>Tax Schedules</t>
  </si>
  <si>
    <t>( x ) Forward P/E multiple</t>
  </si>
  <si>
    <t>GAAP P/E multiple method</t>
  </si>
  <si>
    <t>Cash P/E multiple method</t>
  </si>
  <si>
    <t>Exit year</t>
  </si>
  <si>
    <t>Valuation method (1=EBITDA, 2=GAAP P/E, 3=Cash P/E)</t>
  </si>
  <si>
    <t>Exit Assumptions</t>
  </si>
  <si>
    <t>Tax Assumptions</t>
  </si>
  <si>
    <t>Total equity value</t>
  </si>
  <si>
    <t>Enterprise value</t>
  </si>
  <si>
    <t>GAAP net income</t>
  </si>
  <si>
    <t>Initial investment</t>
  </si>
  <si>
    <t>Cash interest payments</t>
  </si>
  <si>
    <t>Equity participation at exit</t>
  </si>
  <si>
    <t>Total cash flows</t>
  </si>
  <si>
    <t>Cash dividends</t>
  </si>
  <si>
    <t>Management performance equity</t>
  </si>
  <si>
    <t>Sponsor equity</t>
  </si>
  <si>
    <t>CAPM cost of equity</t>
  </si>
  <si>
    <t>Relevered beta</t>
  </si>
  <si>
    <t>Market risk premium</t>
  </si>
  <si>
    <t>Pre-transaction levered beta</t>
  </si>
  <si>
    <t>BSO</t>
  </si>
  <si>
    <t>Treasury method shares</t>
  </si>
  <si>
    <t>In-the-money convertible shares</t>
  </si>
  <si>
    <t>Fully Diluted Shares Outstanding</t>
  </si>
  <si>
    <t>WACC selector (1=manual, 2=computed)</t>
  </si>
  <si>
    <t>Sponsor fee</t>
  </si>
  <si>
    <t>Total sources</t>
  </si>
  <si>
    <t>Total uses</t>
  </si>
  <si>
    <t>Refinance debt</t>
  </si>
  <si>
    <t>Fund cash balance</t>
  </si>
  <si>
    <t>WACC Assumptions</t>
  </si>
  <si>
    <t>Prepayment penalties</t>
  </si>
  <si>
    <t>Existing debt</t>
  </si>
  <si>
    <t>OID</t>
  </si>
  <si>
    <t>[Debt 8]</t>
  </si>
  <si>
    <t>LIBOR</t>
  </si>
  <si>
    <t>Interest Rates</t>
  </si>
  <si>
    <t>Years to</t>
  </si>
  <si>
    <t>Spread to</t>
  </si>
  <si>
    <t>Amortization of OID</t>
  </si>
  <si>
    <t>Fractional years per period</t>
  </si>
  <si>
    <t>Total amortization of OID</t>
  </si>
  <si>
    <t>Total loss on unamortized OID at repayment</t>
  </si>
  <si>
    <t>Loss on unamortized OID at repayment</t>
  </si>
  <si>
    <t>Unamortized OID Amortization Period Remaining</t>
  </si>
  <si>
    <t>Cash</t>
  </si>
  <si>
    <t>Common equity</t>
  </si>
  <si>
    <t>Model Checks</t>
  </si>
  <si>
    <t>Pre-transaction market value of debt</t>
  </si>
  <si>
    <t>Pre-transaction market value of preferred stock</t>
  </si>
  <si>
    <t>Pre-transaction market value of common equity</t>
  </si>
  <si>
    <t>Unlevered beta</t>
  </si>
  <si>
    <t>Taxability</t>
  </si>
  <si>
    <t>Risk-free rate (10-year Treasury)</t>
  </si>
  <si>
    <t>Flat Case</t>
  </si>
  <si>
    <t>Analyst Projections (adjusted for stub period)</t>
  </si>
  <si>
    <t>SBC (% of Sales)</t>
  </si>
  <si>
    <t>Depreciation (% of Sales)</t>
  </si>
  <si>
    <t>Amortization (% of Sales)</t>
  </si>
  <si>
    <t>Drivers</t>
  </si>
  <si>
    <t>Capital expenditures (% of Sales)</t>
  </si>
  <si>
    <t>Revenue growth</t>
  </si>
  <si>
    <t>( + ) Depreciation of new fixed assets</t>
  </si>
  <si>
    <t>Standalone depreciation expense</t>
  </si>
  <si>
    <t>Pro forma depreciation expense</t>
  </si>
  <si>
    <t>Standalone amortization expense</t>
  </si>
  <si>
    <t>Pro forma amortization expense</t>
  </si>
  <si>
    <t>Remaining NOL life (yrs)</t>
  </si>
  <si>
    <t>Total GAAP Amortization</t>
  </si>
  <si>
    <t>Identifiable intangible asset write-up / (down) – beginning</t>
  </si>
  <si>
    <t>Identifiable intangible asset write-up / (down) – ending</t>
  </si>
  <si>
    <t>Total GAAP Depreciation</t>
  </si>
  <si>
    <t>GAAP Depreciation of Fixed Asset Write-ups</t>
  </si>
  <si>
    <t>GAAP Amortization of Identifiable Intangible Asset Write-ups</t>
  </si>
  <si>
    <t>( + ) Depreciation / (accretion) of fixed asset write-ups / (downs)</t>
  </si>
  <si>
    <t>( + ) Amortization / (accretion) of identifiable intangible asset write-ups / (downs)</t>
  </si>
  <si>
    <t>EBITDA / cash interest</t>
  </si>
  <si>
    <t>EBITDA / total interest</t>
  </si>
  <si>
    <t>EBITDA / senior interest</t>
  </si>
  <si>
    <t>Net debt / EBITDA</t>
  </si>
  <si>
    <t>Senior debt / EBITDA</t>
  </si>
  <si>
    <t>Total debt / EBITDA</t>
  </si>
  <si>
    <t>Cumulative senior debt paydown</t>
  </si>
  <si>
    <t>Cumulative debt paydown (excl. preferred and minority interest)</t>
  </si>
  <si>
    <t>Current ratio</t>
  </si>
  <si>
    <t>Quick ("Acid Test") ratio</t>
  </si>
  <si>
    <t>Total asset turnover</t>
  </si>
  <si>
    <t>Fixed asset turnover</t>
  </si>
  <si>
    <t>Inventory turnover</t>
  </si>
  <si>
    <t>Accounts receivable turnover</t>
  </si>
  <si>
    <t>Accounts payable turnover</t>
  </si>
  <si>
    <t>Inventory holding period (days)</t>
  </si>
  <si>
    <t>Days receivable</t>
  </si>
  <si>
    <t>Days payable</t>
  </si>
  <si>
    <t>as of</t>
  </si>
  <si>
    <t>COGS cost savings phase-in</t>
  </si>
  <si>
    <t>SG&amp;A cost savings phase-in</t>
  </si>
  <si>
    <t>Annual run-rate COGS savings</t>
  </si>
  <si>
    <t>Annual run-rate SG&amp;A savings</t>
  </si>
  <si>
    <t>Total annual run-rate cost savings</t>
  </si>
  <si>
    <t>Other Ratios</t>
  </si>
  <si>
    <t>Management equity</t>
  </si>
  <si>
    <t>Cash-on-cash</t>
  </si>
  <si>
    <t>IRR</t>
  </si>
  <si>
    <t>Senior</t>
  </si>
  <si>
    <t>Debt?</t>
  </si>
  <si>
    <t>Manual WACC</t>
  </si>
  <si>
    <t>Macabacus Complex LBO Model</t>
  </si>
  <si>
    <t>(Amortization) / accretion of identifiable intangible asset write-up / (down) – straight-line</t>
  </si>
  <si>
    <t>Interest (income) / expense</t>
  </si>
  <si>
    <t>Provision for tax</t>
  </si>
  <si>
    <t>x</t>
  </si>
  <si>
    <t>Equity Investments</t>
  </si>
  <si>
    <t>Equity income in affiliates</t>
  </si>
  <si>
    <t>( – ) Cash dividends received from equity investments</t>
  </si>
  <si>
    <t>Undistributed earnings</t>
  </si>
  <si>
    <t>Dividends Received Deduction (DRD)</t>
  </si>
  <si>
    <t>Current taxes payable</t>
  </si>
  <si>
    <t>Deferred tax expense</t>
  </si>
  <si>
    <t>Income tax expense</t>
  </si>
  <si>
    <t>Tax benefit from DRD</t>
  </si>
  <si>
    <t>Cash dividends from equity investments</t>
  </si>
  <si>
    <t>*** SOME OR ALL OF THIS SECTION MAY NOT APPLY OUTSIDE THE UNITED STATES ***</t>
  </si>
  <si>
    <t>Federal tax rate</t>
  </si>
  <si>
    <t>State and local tax rate</t>
  </si>
  <si>
    <t>Blended tax rate</t>
  </si>
  <si>
    <t>Cash Taxes &amp; Net DTL</t>
  </si>
  <si>
    <t>( – ) Tax depreciation</t>
  </si>
  <si>
    <t>( – ) Tax amortization of intangible assets</t>
  </si>
  <si>
    <t>( – ) Stock-based compensation</t>
  </si>
  <si>
    <t>( + ) Interest income / (expense)</t>
  </si>
  <si>
    <t>( + ) Distributed equity income in affiliates</t>
  </si>
  <si>
    <t>( + ) Other income / (expense)</t>
  </si>
  <si>
    <t>( – ) Loss on unamortized OID at repayment</t>
  </si>
  <si>
    <t>Total taxable income</t>
  </si>
  <si>
    <t>( – ) NOL used</t>
  </si>
  <si>
    <t>State and local taxable income</t>
  </si>
  <si>
    <t>( – ) State and local cash taxes</t>
  </si>
  <si>
    <t>Federal taxable income</t>
  </si>
  <si>
    <t>Federal cash taxes</t>
  </si>
  <si>
    <t>( + ) State and local cash taxes</t>
  </si>
  <si>
    <t>Total cash taxes payable</t>
  </si>
  <si>
    <t>( + ) Deferred tax expense / (benefit)</t>
  </si>
  <si>
    <t>Book tax expense</t>
  </si>
  <si>
    <t>Net DTL – beginning balance</t>
  </si>
  <si>
    <t>Increase / (decrease) in net DTL</t>
  </si>
  <si>
    <t>Net DTL – ending balance</t>
  </si>
  <si>
    <t>Encumbered NOL Subject to Section 382</t>
  </si>
  <si>
    <t>Net deferred tax liability / (asset)</t>
  </si>
  <si>
    <t>(Increase) / decrease in other assets</t>
  </si>
  <si>
    <t>Increase / (decrease) in other liabilities</t>
  </si>
  <si>
    <t>Beginning balance</t>
  </si>
  <si>
    <t>Ending balance</t>
  </si>
  <si>
    <t>Encumbered NOL subject to Sec. 382</t>
  </si>
  <si>
    <t>( – ) NOL expired</t>
  </si>
  <si>
    <t>Unused limitation carryforward</t>
  </si>
  <si>
    <t>( + ) Carryforward created</t>
  </si>
  <si>
    <t>( – ) Carryforward used</t>
  </si>
  <si>
    <t>Unencumbered NOL</t>
  </si>
  <si>
    <t>( + ) NOL created</t>
  </si>
  <si>
    <t>Alternative Minimum Tax (AMT)</t>
  </si>
  <si>
    <t>Corporate AMT tax rate</t>
  </si>
  <si>
    <t>Maximum taxable income offset</t>
  </si>
  <si>
    <t>Effective AMT tax rate</t>
  </si>
  <si>
    <t>Federal tax at statutory rate (post-NOL)</t>
  </si>
  <si>
    <t>Alternative minimum tax (before credits)</t>
  </si>
  <si>
    <t>Tax payable before AMT credit used</t>
  </si>
  <si>
    <t>( – ) AMT tax credit used</t>
  </si>
  <si>
    <t>Effective federal cash tax rate</t>
  </si>
  <si>
    <t>AMT tax credit carryforward</t>
  </si>
  <si>
    <t>AMT tax credit – beginning balance</t>
  </si>
  <si>
    <t>( + ) AMT tax credit generated</t>
  </si>
  <si>
    <t>AMT tax credit – ending balance</t>
  </si>
  <si>
    <t>Increase / (decrease) in DTA attributable to NOL</t>
  </si>
  <si>
    <t>Existing NOL</t>
  </si>
  <si>
    <t>Common dividend</t>
  </si>
  <si>
    <t>Common stock dividend per share</t>
  </si>
  <si>
    <t>Shares Outstanding</t>
  </si>
  <si>
    <t>Stock Options</t>
  </si>
  <si>
    <t>Current share price</t>
  </si>
  <si>
    <t>Options Outstanding</t>
  </si>
  <si>
    <t>Options Exercisable</t>
  </si>
  <si>
    <t>Method</t>
  </si>
  <si>
    <t>Convertible Securities</t>
  </si>
  <si>
    <t>Fixed Rate /</t>
  </si>
  <si>
    <t>Coupon</t>
  </si>
  <si>
    <t>Convertible</t>
  </si>
  <si>
    <t>Security?</t>
  </si>
  <si>
    <t>Conversion</t>
  </si>
  <si>
    <t>Price</t>
  </si>
  <si>
    <t>Sweep</t>
  </si>
  <si>
    <t>Selector</t>
  </si>
  <si>
    <t>Purchases</t>
  </si>
  <si>
    <t>Accounts receivable days</t>
  </si>
  <si>
    <t>Accounts payable days</t>
  </si>
  <si>
    <t>Inventory days</t>
  </si>
  <si>
    <t>Section 382 Limitation</t>
  </si>
  <si>
    <t>Annual Section 382 NOL deduction limit</t>
  </si>
  <si>
    <t>Liquidation</t>
  </si>
  <si>
    <t>In-the-money</t>
  </si>
  <si>
    <t>Proceeds in</t>
  </si>
  <si>
    <t>Proceeds from liquidation of options</t>
  </si>
  <si>
    <t>Capitalized</t>
  </si>
  <si>
    <t>Fee (%)</t>
  </si>
  <si>
    <t>Proceeds</t>
  </si>
  <si>
    <t>Fee</t>
  </si>
  <si>
    <t>Convertible bond</t>
  </si>
  <si>
    <t>Fee Amort.</t>
  </si>
  <si>
    <t>(yrs)</t>
  </si>
  <si>
    <t xml:space="preserve">Financing </t>
  </si>
  <si>
    <t>Proceeds &amp; Fees</t>
  </si>
  <si>
    <t>Original Issue Discount</t>
  </si>
  <si>
    <t>Miscellaneous</t>
  </si>
  <si>
    <t>Liquidation of options</t>
  </si>
  <si>
    <t>($ in millions, except per share amounts)</t>
  </si>
  <si>
    <t>( + ) In-the-money options liquidated</t>
  </si>
  <si>
    <t>( – ) Proceeds from liquidation of options</t>
  </si>
  <si>
    <t>EPS if converted</t>
  </si>
  <si>
    <t>Basic EPS</t>
  </si>
  <si>
    <t>Is conversion dilutive?</t>
  </si>
  <si>
    <t>GAAP net income available to common</t>
  </si>
  <si>
    <t>Cash net income available to common</t>
  </si>
  <si>
    <t>( + ) Shares from convertible securities</t>
  </si>
  <si>
    <t>Senior interest expense</t>
  </si>
  <si>
    <t>Total interest expense</t>
  </si>
  <si>
    <t>Total preferred dividends</t>
  </si>
  <si>
    <t>Interest on cash</t>
  </si>
  <si>
    <t>Fair Value Adjustments</t>
  </si>
  <si>
    <t>Excess purch. price allocated to identifiable intangibles (%)</t>
  </si>
  <si>
    <t>Asset / Liability</t>
  </si>
  <si>
    <t>Asset?</t>
  </si>
  <si>
    <t>DTL from write-up/down of assets/liabilities</t>
  </si>
  <si>
    <t>DTA from write-down/up of assets/liabilities</t>
  </si>
  <si>
    <t>Transaction DTA / DTL</t>
  </si>
  <si>
    <t>Depr. / Amrt.</t>
  </si>
  <si>
    <t>Period (yrs)</t>
  </si>
  <si>
    <t>feedback@macabacus.com</t>
  </si>
  <si>
    <t>Macabacus, LLC</t>
  </si>
  <si>
    <t>DTA</t>
  </si>
  <si>
    <t>Created</t>
  </si>
  <si>
    <t>DTL</t>
  </si>
  <si>
    <t>Book Value</t>
  </si>
  <si>
    <t>Fair Value</t>
  </si>
  <si>
    <t>Mark</t>
  </si>
  <si>
    <t>Annual NOL deduction limit under Section 382</t>
  </si>
  <si>
    <t>Annual allowed tax benefit under Section 382</t>
  </si>
  <si>
    <t>Realizable tax benefit under Section 382</t>
  </si>
  <si>
    <t>Total DTA subject to Section 382</t>
  </si>
  <si>
    <t>( x ) Remaining NOL life (yrs)</t>
  </si>
  <si>
    <t>Financing Triggers &amp; Drivers</t>
  </si>
  <si>
    <t>Amortize</t>
  </si>
  <si>
    <t>Stated Interest Rates</t>
  </si>
  <si>
    <t>Fee Netted</t>
  </si>
  <si>
    <t>Against</t>
  </si>
  <si>
    <t>DISCLAIMER</t>
  </si>
  <si>
    <t>LIMITATION OF LIABILITY OF MACABACUS</t>
  </si>
  <si>
    <t>Depreciation of Fixed Assets</t>
  </si>
  <si>
    <t>Amortization of Intangible Assets</t>
  </si>
  <si>
    <t>DCF Analysis</t>
  </si>
  <si>
    <t>WACC Analysis</t>
  </si>
  <si>
    <t>Existing Debt</t>
  </si>
  <si>
    <t>In-the-Money</t>
  </si>
  <si>
    <t>Convert at</t>
  </si>
  <si>
    <t>Converted</t>
  </si>
  <si>
    <t>Additional</t>
  </si>
  <si>
    <t>Prepayment</t>
  </si>
  <si>
    <t>Convertible?</t>
  </si>
  <si>
    <t>at Offer Price?</t>
  </si>
  <si>
    <t>Close if ITM?</t>
  </si>
  <si>
    <t>Converted?</t>
  </si>
  <si>
    <t>Paid-in Capital</t>
  </si>
  <si>
    <t>Penalty (%)</t>
  </si>
  <si>
    <t>Penalty ($mm)</t>
  </si>
  <si>
    <t>Face Value</t>
  </si>
  <si>
    <t>Post-</t>
  </si>
  <si>
    <t>Pre-</t>
  </si>
  <si>
    <t>Write Off Purch.</t>
  </si>
  <si>
    <t>New Net DTL</t>
  </si>
  <si>
    <t>Accnt. Intang.</t>
  </si>
  <si>
    <t>from FV Marks</t>
  </si>
  <si>
    <t>Purchase</t>
  </si>
  <si>
    <t>of Acquired</t>
  </si>
  <si>
    <t>Adjustments</t>
  </si>
  <si>
    <t>Acquired</t>
  </si>
  <si>
    <t>Sheet</t>
  </si>
  <si>
    <t>Common stock, par value</t>
  </si>
  <si>
    <t>Transaction</t>
  </si>
  <si>
    <t>Charges</t>
  </si>
  <si>
    <t>Refinance</t>
  </si>
  <si>
    <t>/ Preferred</t>
  </si>
  <si>
    <t>(%)</t>
  </si>
  <si>
    <t>Deal</t>
  </si>
  <si>
    <t>FV Marks</t>
  </si>
  <si>
    <t>(pre-tax)</t>
  </si>
  <si>
    <t>Transaction Balance Sheet</t>
  </si>
  <si>
    <t>Refinance?</t>
  </si>
  <si>
    <t>( x ) Offer price per share</t>
  </si>
  <si>
    <t>Legacy Debt / Preferred Stock Disposition</t>
  </si>
  <si>
    <t>Scenarios</t>
  </si>
  <si>
    <t>Cost Savings</t>
  </si>
  <si>
    <t>Net income available to common</t>
  </si>
  <si>
    <t>Sources</t>
  </si>
  <si>
    <t>Financing fees</t>
  </si>
  <si>
    <t>Transaction costs expensed at close</t>
  </si>
  <si>
    <t>Revolver draw-down</t>
  </si>
  <si>
    <t>Tax refund</t>
  </si>
  <si>
    <t>Transaction costs</t>
  </si>
  <si>
    <t>New</t>
  </si>
  <si>
    <t>Funding</t>
  </si>
  <si>
    <t>Legacy Debt / Preferred Stock Refinancing Triggers</t>
  </si>
  <si>
    <t>New revolver bank commitment</t>
  </si>
  <si>
    <t>Refinancing</t>
  </si>
  <si>
    <t>Bullet Year</t>
  </si>
  <si>
    <t>Term /</t>
  </si>
  <si>
    <t>New funding</t>
  </si>
  <si>
    <t>Payment-in-Kind (PIK) / Total Interest (%)</t>
  </si>
  <si>
    <t>Periodic</t>
  </si>
  <si>
    <t>Scheduled Amortization</t>
  </si>
  <si>
    <t>Advisory fee</t>
  </si>
  <si>
    <t>Legal fee</t>
  </si>
  <si>
    <t>Accounting fee</t>
  </si>
  <si>
    <t>Printing fee</t>
  </si>
  <si>
    <t>Other fee</t>
  </si>
  <si>
    <t>Summary Sources &amp; Uses of Funds</t>
  </si>
  <si>
    <t>Dashboard</t>
  </si>
  <si>
    <t>Financing Scenarios &amp; Drivers</t>
  </si>
  <si>
    <t>Annual sponsor management fee</t>
  </si>
  <si>
    <t>Active Case</t>
  </si>
  <si>
    <t>Exit EBITDA multiple</t>
  </si>
  <si>
    <t>Exit P/E multiple</t>
  </si>
  <si>
    <t>Investment</t>
  </si>
  <si>
    <t>Undiluted</t>
  </si>
  <si>
    <t>Partial</t>
  </si>
  <si>
    <t>Full</t>
  </si>
  <si>
    <t>Dilution</t>
  </si>
  <si>
    <t>Initial Equity</t>
  </si>
  <si>
    <t>Equity Allocation</t>
  </si>
  <si>
    <t>Returns Analysis</t>
  </si>
  <si>
    <t>Principal repayment</t>
  </si>
  <si>
    <t>Exit Year?</t>
  </si>
  <si>
    <t>Multiples</t>
  </si>
  <si>
    <t>Equity kickers</t>
  </si>
  <si>
    <t>EBITDA – annualized</t>
  </si>
  <si>
    <t>GAAP net income – annualized</t>
  </si>
  <si>
    <t>Cash net income – annualized</t>
  </si>
  <si>
    <t>Prepayment Premiums</t>
  </si>
  <si>
    <t>Prepayment premium</t>
  </si>
  <si>
    <t>Periodic amortization</t>
  </si>
  <si>
    <t>( + ) Treasury Method option shares</t>
  </si>
  <si>
    <t>GAAP earnings growth</t>
  </si>
  <si>
    <t>Cash earnings growth</t>
  </si>
  <si>
    <t>Key Ratios &amp; Drivers</t>
  </si>
  <si>
    <t>Senior debt</t>
  </si>
  <si>
    <t>EBITDA – capex / senior interest</t>
  </si>
  <si>
    <t>EBITDA – capex / total interest</t>
  </si>
  <si>
    <t>EBITDA – capex / cash interest</t>
  </si>
  <si>
    <t>EBITDA – capex – Δ WC / senior interest</t>
  </si>
  <si>
    <t>EBITDA – capex – Δ WC / total interest</t>
  </si>
  <si>
    <t>EBITDA – capex – Δ WC / cash interest</t>
  </si>
  <si>
    <t>Subordinated interest expense</t>
  </si>
  <si>
    <t>Total fixed charges</t>
  </si>
  <si>
    <t>Total debt / EBITDA – capex</t>
  </si>
  <si>
    <t>Operating Data (annualized)</t>
  </si>
  <si>
    <t>Interest Expense &amp; Preferred Dividends (annualized)</t>
  </si>
  <si>
    <t>ROA</t>
  </si>
  <si>
    <t>ROE</t>
  </si>
  <si>
    <t>Debt paydown</t>
  </si>
  <si>
    <t>Liquidity ratios</t>
  </si>
  <si>
    <t>Asset utilization</t>
  </si>
  <si>
    <t>Working capital</t>
  </si>
  <si>
    <t>ROIC</t>
  </si>
  <si>
    <t>Legacy debt</t>
  </si>
  <si>
    <t>Additional paid-in capital (APIC)</t>
  </si>
  <si>
    <t>Standalone GAAP EPS</t>
  </si>
  <si>
    <t>Pro forma GAAP EPS</t>
  </si>
  <si>
    <t>Standalone cash EPS</t>
  </si>
  <si>
    <t>Pro forma cash EPS</t>
  </si>
  <si>
    <t>Amortization, after-tax</t>
  </si>
  <si>
    <t>Stock-based comp, after-tax</t>
  </si>
  <si>
    <t>One-time charges, after-tax</t>
  </si>
  <si>
    <t>Amortization of capitalized financing costs, after-tax</t>
  </si>
  <si>
    <t>GAAP-to-cash reconciliation</t>
  </si>
  <si>
    <t>( + ) PIK accretion</t>
  </si>
  <si>
    <t>( – ) Mandatory repayment</t>
  </si>
  <si>
    <t>( – ) Optional repayment</t>
  </si>
  <si>
    <t>Book value</t>
  </si>
  <si>
    <t>( + ) Amortization of OID</t>
  </si>
  <si>
    <t>( + ) Loss on unamortized OID at repayment</t>
  </si>
  <si>
    <t>Original issue discount</t>
  </si>
  <si>
    <t>( – ) Amortization of OID</t>
  </si>
  <si>
    <t>( + ) Cash flow available for debt service</t>
  </si>
  <si>
    <t>Total cash available for debt service</t>
  </si>
  <si>
    <t>( – ) Scheduled debt repayment</t>
  </si>
  <si>
    <t>Cash available for sweep / (revolver draw-down)</t>
  </si>
  <si>
    <t>( + ) Revolver draw-down</t>
  </si>
  <si>
    <t>( – ) Revolver pay-down</t>
  </si>
  <si>
    <t>Bank revolver commitment</t>
  </si>
  <si>
    <t>Debt Schedules</t>
  </si>
  <si>
    <t>Cash Sweep</t>
  </si>
  <si>
    <t>Actual interest expense or preferred dividend</t>
  </si>
  <si>
    <t>Book interest expense or preferred dividend</t>
  </si>
  <si>
    <t>Interest expense on drawn balance</t>
  </si>
  <si>
    <t>Summary Interest Income / Expense &amp; Preferred Dividends</t>
  </si>
  <si>
    <t>Interest Rates &amp; Summary</t>
  </si>
  <si>
    <t>Summary OID Items</t>
  </si>
  <si>
    <t>Revolver limit observed</t>
  </si>
  <si>
    <t>( + ) FV of noncontrolling interests</t>
  </si>
  <si>
    <t>Strictly Confidential</t>
  </si>
  <si>
    <t>Table of Contents</t>
  </si>
  <si>
    <t>This model now has the circularity turned on. Please confirm the Excel settings below.</t>
  </si>
  <si>
    <t>PC</t>
  </si>
  <si>
    <t>File - Options - Formulas - Check the box on the top-right labeled 'Enable iterative calculation'.</t>
  </si>
  <si>
    <t>Mac</t>
  </si>
  <si>
    <t>Excel - Preferences - Calculation - Check the box near the bottom labeled 'Use iterative calculation'.</t>
  </si>
  <si>
    <t>© 2023 Macabacus, LLC</t>
  </si>
  <si>
    <t>This model represents a hypothetical DCF of a hypothetical company. Any similarity between the financial metrics of this company and actual companies</t>
  </si>
  <si>
    <t>is purely coincidental. Macabacus does not provide investment, accounting or tax advice. Additionally, tax and accounting rules used in the model are</t>
  </si>
  <si>
    <t>illustrative and may not reflect current tax or accounting rules and standards.</t>
  </si>
  <si>
    <t>Except as otherwise expressly stated, including but not limited to in a license or other agreement governing the use of specific content, all content in this</t>
  </si>
  <si>
    <t>model is provided "as is," and Macabacus makes no representations or warranties, express or implied, including but not limited to warranties</t>
  </si>
  <si>
    <t xml:space="preserve">of merchantability, fitness for a particular purpose, title or non-infringement of proprietary rights. Without limiting the foregoing, Macabacus </t>
  </si>
  <si>
    <t>makes no representation or warranty that content in this model is free from error or suitable for any purpose; nor that the use of such</t>
  </si>
  <si>
    <t xml:space="preserve">content will not infringe any third-party copyrights, trademarks or other intellectual property rights. You understand and agree that you </t>
  </si>
  <si>
    <t xml:space="preserve">download or otherwise obtain content through Macabacus' websites at your own discretion and risk, and that Macabacus will have no </t>
  </si>
  <si>
    <t>liability or responsibility for any damage to your computer system or data that results from the download or use of such content. Some</t>
  </si>
  <si>
    <t>jurisdictions may not allow the exclusion of implied warranties, so some of the above limitations may not apply to you.</t>
  </si>
  <si>
    <t>Except as otherwise expressly stated, including but not limited to in a license or other agreement governing the use of specific content, in no event will Macabacus</t>
  </si>
  <si>
    <t>be liabile to you or any other party for any direct, indirect, special, consequential or exemplary damages, regardless of the basis or nature of the claim, resulting</t>
  </si>
  <si>
    <t>from any use of this model, or the contents thereof, including without limitation any lost profits, business interruption, loss of data or otherwise, even if Macabacus</t>
  </si>
  <si>
    <t>was expressly advised of the possibility of such damages. Some jurisdictions may not allow the exclcusion or limitation of liability for certain incidental or</t>
  </si>
  <si>
    <t>consequential damages, so some of the above limitations may not apply to you.</t>
  </si>
  <si>
    <t>This Excel model is for educational purposes only and should not be used for any other reason. All content is Copyright material of CFI Education Inc.</t>
  </si>
  <si>
    <t>All rights reserved.  The contents of this publication, including but not limited to all written material, content layout, images, formulas, and code, are protected</t>
  </si>
  <si>
    <t>under international copyright and trademark laws.  No part of this publication may be modified, manipulated, reproduced, distributed, or transmitted in any</t>
  </si>
  <si>
    <t xml:space="preserve">form by any means, including photocopying, recording, or other electronic or mechanical methods, without prior written permission of the publisher, </t>
  </si>
  <si>
    <t>except in the case of certain noncommercial uses permitted by copyright law.</t>
  </si>
  <si>
    <t>https://www.macabacus.com/</t>
  </si>
  <si>
    <t xml:space="preserve"> </t>
  </si>
  <si>
    <t>Macabacus Long-Form LBO Model</t>
  </si>
  <si>
    <t>LBO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</si>
</sst>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3">
    <numFmt numFmtId="7" formatCode="&quot;$&quot;#,##0.00_);\(&quot;$&quot;#,##0.00\)"/>
    <numFmt numFmtId="8" formatCode="&quot;$&quot;#,##0.00_);[Red]\(&quot;$&quot;#,##0.00\)"/>
    <numFmt numFmtId="42" formatCode="_(&quot;$&quot;* #,##0_);_(&quot;$&quot;* \(#,##0\);_(&quot;$&quot;* &quot;-&quot;_);_(@_)"/>
    <numFmt numFmtId="41" formatCode="_(* #,##0_);_(* \(#,##0\);_(* &quot;-&quot;_);_(@_)"/>
    <numFmt numFmtId="43" formatCode="_(* #,##0.00_);_(* \(#,##0.00\);_(* &quot;-&quot;??_);_(@_)"/>
    <numFmt numFmtId="164" formatCode="&quot;$&quot;#,##0.00_);\(&quot;$&quot;#,##0.00\);&quot;$&quot;#,##0.00_);@_)"/>
    <numFmt numFmtId="165" formatCode="0.0%_);\(0.0%\);0.0%_);@_)"/>
    <numFmt numFmtId="166" formatCode="&quot;yes&quot;;&quot;ERROR&quot;;&quot;no&quot;;&quot;ERROR&quot;"/>
    <numFmt numFmtId="167" formatCode="#,##0.000_);\(#,##0.000\);#,##0.000_);@_)"/>
    <numFmt numFmtId="168" formatCode="&quot;$&quot;#,##0.0_);\(&quot;$&quot;#,##0.0\);&quot;$&quot;#,##0.0_);@_)"/>
    <numFmt numFmtId="169" formatCode="#,##0.0_);\(#,##0.0\);#,##0.0_);@_)"/>
    <numFmt numFmtId="170" formatCode="0.00\x_);\(0.00\x\);0.00\x_);@_)"/>
    <numFmt numFmtId="171" formatCode="0.00%_);\(0.00%\);0.00%_);@_)"/>
    <numFmt numFmtId="172" formatCode="0.0%"/>
    <numFmt numFmtId="173" formatCode="0_);\(0\)"/>
    <numFmt numFmtId="174" formatCode="&quot;$&quot;#,##0.0_);\(&quot;$&quot;#,##0.0\)"/>
    <numFmt numFmtId="175" formatCode="&quot;Year &quot;0"/>
    <numFmt numFmtId="176" formatCode="0&quot; mos.&quot;"/>
    <numFmt numFmtId="177" formatCode="_(&quot;$&quot;#,##0.0_)_%;_(\(&quot;$&quot;#,##0.0\)_%;_(&quot;–&quot;_)_%;@_(_%"/>
    <numFmt numFmtId="178" formatCode="_(#,##0_)_%;_(\(#,##0\)_%;_(&quot;–&quot;_)_%;@_(_%"/>
    <numFmt numFmtId="179" formatCode="_(#,##0.0_)_%;_(\(#,##0.0\)_%;_(&quot;–&quot;_)_%;@_(_%"/>
    <numFmt numFmtId="180" formatCode="m/d/yy_)_%;@_)_%"/>
    <numFmt numFmtId="181" formatCode="_(0.00%_);\(0.00%\);_(&quot;–&quot;_)_%;@_(_%"/>
    <numFmt numFmtId="182" formatCode="_(0.0%_);\(0.0%\);_(&quot;–&quot;_)_%;@_(_%"/>
    <numFmt numFmtId="183" formatCode="_(#,##0.000_)_%;_(\(#,##0.000\)_%;_(&quot;–&quot;_)_%;@_(_%"/>
    <numFmt numFmtId="184" formatCode="_(&quot;$&quot;#,##0.00_)_%;_(\(&quot;$&quot;#,##0.00\)_%;_(&quot;–&quot;_)_%;@_(_%"/>
    <numFmt numFmtId="185" formatCode="0_)_%;_(\(0\)_%;0_)_%;@_(_%"/>
    <numFmt numFmtId="186" formatCode="&quot;Yes&quot;_)_%;&quot;ERROR&quot;_)_%;&quot;No&quot;_)_%;&quot;ERROR&quot;_)_%"/>
    <numFmt numFmtId="187" formatCode="_(0.00\x_)_);_(\(0.00\x\);_(&quot;–&quot;_)_%;@_(_%"/>
    <numFmt numFmtId="188" formatCode="_(#,##0.00_)_%;_(\(#,##0.00\)_%;_(&quot;–&quot;_)_%;@_(_%"/>
    <numFmt numFmtId="189" formatCode="m/d/yy;@"/>
    <numFmt numFmtId="190" formatCode="yyyy"/>
    <numFmt numFmtId="191" formatCode="#,##0.00000000000000_);\(#,##0.00000000000000\)"/>
    <numFmt numFmtId="192" formatCode="_(0.0\x_)_)_';_(\(0.0\x\)_'_';_(&quot;–&quot;_)_%;@_(_%"/>
    <numFmt numFmtId="193" formatCode="_(0.0\x_)_);_(\(0.0\x\);_(&quot;–&quot;_)_%;@_(_%"/>
    <numFmt numFmtId="194" formatCode="_(#,##0_)_%;_(\(#,##0\)_%"/>
    <numFmt numFmtId="195" formatCode="_(0.00\x_)_);_(\(0.00\x\)_'_';_(&quot;–&quot;_)_%;@_(_%"/>
    <numFmt numFmtId="196" formatCode="&quot;Yes&quot;_)_%;;&quot;No&quot;_)_%"/>
    <numFmt numFmtId="197" formatCode="mm/dd/yy;@"/>
    <numFmt numFmtId="198" formatCode="_(0.00&quot;%&quot;_);\(0.00&quot;%&quot;\);_(&quot;–&quot;_)_%;@_)_%"/>
    <numFmt numFmtId="199" formatCode="_([$$]#,##0.0_)_%;\([$$]#,##0.0\)_%;_(&quot;–&quot;_)_%;@_)_%"/>
    <numFmt numFmtId="200" formatCode="_(#,##0_)_%;\(#,##0\)_%;_(&quot;–&quot;_)_%;_(@_)_%"/>
    <numFmt numFmtId="206" formatCode="_(#,##0.00000_);\(#,##0.00000\);_(&quot;–&quot;_);_(@_)"/>
  </numFmts>
  <fonts count="91">
    <font>
      <sz val="10"/>
      <name val="Arial"/>
    </font>
    <font>
      <sz val="10"/>
      <color theme="1"/>
      <name val="Open Sans"/>
      <family val="2"/>
    </font>
    <font>
      <u/>
      <sz val="8"/>
      <color indexed="12"/>
      <name val="Arial"/>
      <family val="2"/>
    </font>
    <font>
      <sz val="8"/>
      <color indexed="8"/>
      <name val="Tahoma"/>
      <family val="2"/>
    </font>
    <font>
      <sz val="8"/>
      <name val="Arial"/>
      <family val="2"/>
    </font>
    <font>
      <sz val="10"/>
      <name val="Arial"/>
      <family val="2"/>
    </font>
    <font>
      <sz val="10"/>
      <name val="Calibri"/>
      <family val="2"/>
      <scheme val="minor"/>
    </font>
    <font>
      <sz val="9"/>
      <color indexed="81"/>
      <name val="Tahoma"/>
      <family val="2"/>
    </font>
    <font>
      <b/>
      <sz val="9"/>
      <color indexed="81"/>
      <name val="Tahoma"/>
      <family val="2"/>
    </font>
    <font>
      <b/>
      <sz val="15"/>
      <color theme="3"/>
      <name val="Calibri"/>
      <family val="2"/>
      <scheme val="minor"/>
    </font>
    <font>
      <sz val="12"/>
      <name val="ⓒoUAAA¨u"/>
      <family val="1"/>
      <charset val="255"/>
    </font>
    <font>
      <sz val="11"/>
      <name val="￥i￠￢￠?o"/>
      <family val="3"/>
      <charset val="255"/>
    </font>
    <font>
      <sz val="12"/>
      <name val="¹ÙÅÁÃ¼"/>
      <family val="1"/>
      <charset val="129"/>
    </font>
    <font>
      <sz val="12"/>
      <name val="¹UAAA¼"/>
      <family val="3"/>
      <charset val="129"/>
    </font>
    <font>
      <sz val="12"/>
      <name val="¹UAAA¼"/>
      <family val="1"/>
      <charset val="255"/>
    </font>
    <font>
      <sz val="12"/>
      <name val="System"/>
      <family val="3"/>
      <charset val="129"/>
    </font>
    <font>
      <sz val="10"/>
      <name val="±¼¸²Ã¼"/>
      <family val="3"/>
      <charset val="129"/>
    </font>
    <font>
      <sz val="10"/>
      <name val="Arial"/>
      <family val="2"/>
    </font>
    <font>
      <b/>
      <sz val="11"/>
      <color theme="0"/>
      <name val="Calibri"/>
      <family val="2"/>
      <scheme val="minor"/>
    </font>
    <font>
      <sz val="10"/>
      <color theme="0"/>
      <name val="Open Sans"/>
      <family val="2"/>
    </font>
    <font>
      <sz val="11"/>
      <color theme="1"/>
      <name val="Calibri"/>
      <family val="2"/>
      <scheme val="minor"/>
    </font>
    <font>
      <sz val="11"/>
      <color theme="1"/>
      <name val="Open Sans"/>
      <family val="2"/>
    </font>
    <font>
      <sz val="11"/>
      <color rgb="FFC32838"/>
      <name val="Calibri"/>
      <family val="2"/>
      <scheme val="minor"/>
    </font>
    <font>
      <b/>
      <sz val="20"/>
      <color rgb="FF264E58"/>
      <name val="Open Sans"/>
      <family val="2"/>
    </font>
    <font>
      <b/>
      <sz val="14"/>
      <color rgb="FF264E58"/>
      <name val="Open Sans"/>
      <family val="2"/>
    </font>
    <font>
      <u/>
      <sz val="10"/>
      <color theme="10"/>
      <name val="Arial"/>
      <family val="2"/>
    </font>
    <font>
      <u/>
      <sz val="12"/>
      <color rgb="FF3271D2"/>
      <name val="Open Sans"/>
      <family val="2"/>
    </font>
    <font>
      <b/>
      <sz val="11"/>
      <color rgb="FFFA621C"/>
      <name val="Open Sans"/>
      <family val="2"/>
    </font>
    <font>
      <u/>
      <sz val="11"/>
      <color rgb="FFFA621C"/>
      <name val="Open Sans"/>
      <family val="2"/>
    </font>
    <font>
      <sz val="11"/>
      <color rgb="FFFA621C"/>
      <name val="Open Sans"/>
      <family val="2"/>
    </font>
    <font>
      <b/>
      <sz val="12"/>
      <color theme="0"/>
      <name val="Open Sans"/>
      <family val="2"/>
    </font>
    <font>
      <sz val="12"/>
      <color rgb="FFC32838"/>
      <name val="Calibri"/>
      <family val="2"/>
      <scheme val="minor"/>
    </font>
    <font>
      <sz val="12"/>
      <color rgb="FFFA621C"/>
      <name val="Calibri"/>
      <family val="2"/>
      <scheme val="minor"/>
    </font>
    <font>
      <sz val="12"/>
      <color theme="0"/>
      <name val="Open Sans"/>
      <family val="2"/>
    </font>
    <font>
      <sz val="11"/>
      <color theme="0"/>
      <name val="Open Sans"/>
      <family val="2"/>
    </font>
    <font>
      <u/>
      <sz val="11"/>
      <color theme="0"/>
      <name val="Open Sans"/>
      <family val="2"/>
    </font>
    <font>
      <sz val="10"/>
      <name val="Open Sans"/>
      <family val="2"/>
    </font>
    <font>
      <b/>
      <sz val="18"/>
      <color indexed="8"/>
      <name val="Open Sans"/>
      <family val="2"/>
    </font>
    <font>
      <u/>
      <sz val="10"/>
      <color indexed="12"/>
      <name val="Open Sans"/>
      <family val="2"/>
    </font>
    <font>
      <b/>
      <sz val="12"/>
      <color rgb="FFFFFFFF"/>
      <name val="Open Sans"/>
      <family val="2"/>
    </font>
    <font>
      <b/>
      <sz val="12"/>
      <color indexed="16"/>
      <name val="Open Sans"/>
      <family val="2"/>
    </font>
    <font>
      <sz val="10"/>
      <color indexed="16"/>
      <name val="Open Sans"/>
      <family val="2"/>
    </font>
    <font>
      <sz val="8"/>
      <name val="Open Sans"/>
      <family val="2"/>
    </font>
    <font>
      <b/>
      <sz val="10"/>
      <name val="Open Sans"/>
      <family val="2"/>
    </font>
    <font>
      <b/>
      <sz val="10"/>
      <color rgb="FF003769"/>
      <name val="Open Sans"/>
      <family val="2"/>
    </font>
    <font>
      <sz val="10"/>
      <color indexed="12"/>
      <name val="Open Sans"/>
      <family val="2"/>
    </font>
    <font>
      <i/>
      <sz val="10"/>
      <color indexed="12"/>
      <name val="Open Sans"/>
      <family val="2"/>
    </font>
    <font>
      <i/>
      <sz val="10"/>
      <color rgb="FF0000FF"/>
      <name val="Open Sans"/>
      <family val="2"/>
    </font>
    <font>
      <sz val="10"/>
      <color rgb="FF0000FF"/>
      <name val="Open Sans"/>
      <family val="2"/>
    </font>
    <font>
      <i/>
      <sz val="10"/>
      <color indexed="8"/>
      <name val="Open Sans"/>
      <family val="2"/>
    </font>
    <font>
      <sz val="10"/>
      <color indexed="8"/>
      <name val="Open Sans"/>
      <family val="2"/>
    </font>
    <font>
      <sz val="10"/>
      <color rgb="FF000000"/>
      <name val="Open Sans"/>
      <family val="2"/>
    </font>
    <font>
      <i/>
      <sz val="10"/>
      <color rgb="FF000000"/>
      <name val="Open Sans"/>
      <family val="2"/>
    </font>
    <font>
      <i/>
      <sz val="10"/>
      <name val="Open Sans"/>
      <family val="2"/>
    </font>
    <font>
      <b/>
      <sz val="10"/>
      <color indexed="8"/>
      <name val="Open Sans"/>
      <family val="2"/>
    </font>
    <font>
      <b/>
      <i/>
      <sz val="10"/>
      <color indexed="8"/>
      <name val="Open Sans"/>
      <family val="2"/>
    </font>
    <font>
      <b/>
      <i/>
      <sz val="10"/>
      <name val="Open Sans"/>
      <family val="2"/>
    </font>
    <font>
      <sz val="10"/>
      <color rgb="FFC00000"/>
      <name val="Open Sans"/>
      <family val="2"/>
    </font>
    <font>
      <b/>
      <sz val="10"/>
      <color indexed="10"/>
      <name val="Open Sans"/>
      <family val="2"/>
    </font>
    <font>
      <b/>
      <sz val="10"/>
      <color rgb="FF003868"/>
      <name val="Open Sans"/>
      <family val="2"/>
    </font>
    <font>
      <b/>
      <u val="singleAccounting"/>
      <sz val="10"/>
      <color rgb="FF003769"/>
      <name val="Open Sans"/>
      <family val="2"/>
    </font>
    <font>
      <sz val="8"/>
      <color rgb="FF000000"/>
      <name val="Open Sans"/>
      <family val="2"/>
    </font>
    <font>
      <b/>
      <sz val="10"/>
      <color rgb="FF1F497D"/>
      <name val="Open Sans"/>
      <family val="2"/>
    </font>
    <font>
      <b/>
      <u/>
      <sz val="10"/>
      <name val="Open Sans"/>
      <family val="2"/>
    </font>
    <font>
      <i/>
      <u/>
      <sz val="10"/>
      <name val="Open Sans"/>
      <family val="2"/>
    </font>
    <font>
      <b/>
      <sz val="10"/>
      <color rgb="FFC23841"/>
      <name val="Open Sans"/>
      <family val="2"/>
    </font>
    <font>
      <b/>
      <sz val="10"/>
      <color indexed="12"/>
      <name val="Open Sans"/>
      <family val="2"/>
    </font>
    <font>
      <b/>
      <sz val="10"/>
      <color rgb="FFC00000"/>
      <name val="Open Sans"/>
      <family val="2"/>
    </font>
    <font>
      <sz val="10"/>
      <color rgb="FFC23841"/>
      <name val="Open Sans"/>
      <family val="2"/>
    </font>
    <font>
      <i/>
      <sz val="10"/>
      <color rgb="FFC00000"/>
      <name val="Open Sans"/>
      <family val="2"/>
    </font>
    <font>
      <sz val="10"/>
      <color rgb="FF1F497D"/>
      <name val="Open Sans"/>
      <family val="2"/>
    </font>
    <font>
      <b/>
      <u val="singleAccounting"/>
      <sz val="10"/>
      <color rgb="FF1F497D"/>
      <name val="Open Sans"/>
      <family val="2"/>
    </font>
    <font>
      <i/>
      <sz val="10"/>
      <color rgb="FFC23841"/>
      <name val="Open Sans"/>
      <family val="2"/>
    </font>
    <font>
      <b/>
      <u val="singleAccounting"/>
      <sz val="10"/>
      <color rgb="FF003868"/>
      <name val="Open Sans"/>
      <family val="2"/>
    </font>
    <font>
      <u/>
      <sz val="10"/>
      <name val="Open Sans"/>
      <family val="2"/>
    </font>
    <font>
      <sz val="10"/>
      <color rgb="FF003769"/>
      <name val="Open Sans"/>
      <family val="2"/>
    </font>
    <font>
      <b/>
      <sz val="10"/>
      <color indexed="53"/>
      <name val="Open Sans"/>
      <family val="2"/>
    </font>
    <font>
      <b/>
      <sz val="10"/>
      <color rgb="FF000000"/>
      <name val="Open Sans"/>
      <family val="2"/>
    </font>
    <font>
      <sz val="10"/>
      <color rgb="FF008000"/>
      <name val="Open Sans"/>
      <family val="2"/>
    </font>
    <font>
      <b/>
      <i/>
      <sz val="10"/>
      <color rgb="FFC00000"/>
      <name val="Open Sans"/>
      <family val="2"/>
    </font>
    <font>
      <b/>
      <u/>
      <sz val="10"/>
      <color indexed="8"/>
      <name val="Open Sans"/>
      <family val="2"/>
    </font>
    <font>
      <b/>
      <i/>
      <sz val="10"/>
      <color indexed="12"/>
      <name val="Open Sans"/>
      <family val="2"/>
    </font>
    <font>
      <b/>
      <sz val="10"/>
      <color rgb="FFFFFFFF"/>
      <name val="Open Sans"/>
      <family val="2"/>
    </font>
    <font>
      <sz val="10"/>
      <color indexed="60"/>
      <name val="Open Sans"/>
      <family val="2"/>
    </font>
    <font>
      <i/>
      <u/>
      <sz val="10"/>
      <color rgb="FF000000"/>
      <name val="Open Sans"/>
      <family val="2"/>
    </font>
    <font>
      <b/>
      <sz val="10"/>
      <color indexed="16"/>
      <name val="Open Sans"/>
      <family val="2"/>
    </font>
    <font>
      <i/>
      <sz val="10"/>
      <color indexed="10"/>
      <name val="Open Sans"/>
      <family val="2"/>
    </font>
    <font>
      <b/>
      <sz val="10"/>
      <color rgb="FF3271D2"/>
      <name val="Open Sans"/>
      <family val="2"/>
    </font>
    <font>
      <sz val="10"/>
      <color rgb="FF3271D2"/>
      <name val="Open Sans"/>
      <family val="2"/>
    </font>
    <font>
      <i/>
      <sz val="10"/>
      <color rgb="FF3271D2"/>
      <name val="Open Sans"/>
      <family val="2"/>
    </font>
    <font>
      <u/>
      <sz val="10"/>
      <color rgb="FF3271D2"/>
      <name val="Open Sans"/>
      <family val="2"/>
    </font>
  </fonts>
  <fills count="10">
    <fill>
      <patternFill patternType="none"/>
    </fill>
    <fill>
      <patternFill patternType="gray125"/>
    </fill>
    <fill>
      <patternFill patternType="solid">
        <fgColor rgb="FFECEBE5"/>
        <bgColor indexed="64"/>
      </patternFill>
    </fill>
    <fill>
      <patternFill patternType="solid">
        <fgColor rgb="FFFFF5D2"/>
        <bgColor indexed="64"/>
      </patternFill>
    </fill>
    <fill>
      <patternFill patternType="solid">
        <fgColor rgb="FFC00000"/>
        <bgColor indexed="64"/>
      </patternFill>
    </fill>
    <fill>
      <patternFill patternType="solid">
        <fgColor rgb="FFDCE6EB"/>
        <bgColor indexed="64"/>
      </patternFill>
    </fill>
    <fill>
      <patternFill patternType="solid">
        <fgColor rgb="FFEBEBE6"/>
        <bgColor indexed="64"/>
      </patternFill>
    </fill>
    <fill>
      <patternFill patternType="solid">
        <fgColor rgb="FF7896AF"/>
        <bgColor indexed="64"/>
      </patternFill>
    </fill>
    <fill>
      <patternFill patternType="solid">
        <fgColor rgb="FFA5A5A5"/>
      </patternFill>
    </fill>
    <fill>
      <patternFill patternType="solid">
        <fgColor rgb="FF264E58"/>
        <bgColor indexed="64"/>
      </patternFill>
    </fill>
  </fills>
  <borders count="39">
    <border>
      <left/>
      <right/>
      <top/>
      <bottom/>
      <diagonal/>
    </border>
    <border>
      <left/>
      <right/>
      <top style="thin">
        <color indexed="64"/>
      </top>
      <bottom/>
      <diagonal/>
    </border>
    <border>
      <left/>
      <right/>
      <top/>
      <bottom style="thin">
        <color indexed="64"/>
      </bottom>
      <diagonal/>
    </border>
    <border>
      <left/>
      <right/>
      <top style="hair">
        <color auto="1"/>
      </top>
      <bottom/>
      <diagonal/>
    </border>
    <border>
      <left/>
      <right/>
      <top style="thin">
        <color rgb="FF000000"/>
      </top>
      <bottom/>
      <diagonal/>
    </border>
    <border>
      <left/>
      <right/>
      <top style="hair">
        <color rgb="FF000000"/>
      </top>
      <bottom style="thin">
        <color rgb="FF000000"/>
      </bottom>
      <diagonal/>
    </border>
    <border>
      <left/>
      <right/>
      <top style="thin">
        <color auto="1"/>
      </top>
      <bottom/>
      <diagonal/>
    </border>
    <border>
      <left/>
      <right/>
      <top/>
      <bottom style="thin">
        <color rgb="FF255B89"/>
      </bottom>
      <diagonal/>
    </border>
    <border>
      <left/>
      <right/>
      <top style="hair">
        <color rgb="FF000000"/>
      </top>
      <bottom/>
      <diagonal/>
    </border>
    <border>
      <left/>
      <right/>
      <top/>
      <bottom style="thick">
        <color theme="4"/>
      </bottom>
      <diagonal/>
    </border>
    <border>
      <left/>
      <right/>
      <top/>
      <bottom style="medium">
        <color rgb="FF000000"/>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top style="thick">
        <color theme="0"/>
      </top>
      <bottom/>
      <diagonal/>
    </border>
    <border>
      <left/>
      <right/>
      <top style="medium">
        <color indexed="64"/>
      </top>
      <bottom style="thin">
        <color indexed="64"/>
      </bottom>
      <diagonal/>
    </border>
    <border>
      <left/>
      <right/>
      <top/>
      <bottom style="medium">
        <color theme="4" tint="-0.24994659260841701"/>
      </bottom>
      <diagonal/>
    </border>
    <border>
      <left/>
      <right/>
      <top/>
      <bottom style="medium">
        <color rgb="FF235A8C"/>
      </bottom>
      <diagonal/>
    </border>
    <border>
      <left style="thin">
        <color rgb="FFB4C3D2"/>
      </left>
      <right/>
      <top style="thin">
        <color rgb="FFB4C3D2"/>
      </top>
      <bottom style="thin">
        <color rgb="FFB4C3D2"/>
      </bottom>
      <diagonal/>
    </border>
    <border>
      <left/>
      <right/>
      <top style="thin">
        <color rgb="FFB4C3D2"/>
      </top>
      <bottom style="thin">
        <color rgb="FFB4C3D2"/>
      </bottom>
      <diagonal/>
    </border>
    <border>
      <left/>
      <right style="thin">
        <color rgb="FFB4C3D2"/>
      </right>
      <top style="thin">
        <color rgb="FFB4C3D2"/>
      </top>
      <bottom style="thin">
        <color rgb="FFB4C3D2"/>
      </bottom>
      <diagonal/>
    </border>
    <border>
      <left/>
      <right/>
      <top/>
      <bottom style="thin">
        <color rgb="FF000000"/>
      </bottom>
      <diagonal/>
    </border>
    <border>
      <left style="dashed">
        <color rgb="FFC00000"/>
      </left>
      <right/>
      <top style="dashed">
        <color rgb="FFC00000"/>
      </top>
      <bottom/>
      <diagonal/>
    </border>
    <border>
      <left/>
      <right style="dashed">
        <color rgb="FFC00000"/>
      </right>
      <top style="dashed">
        <color rgb="FFC00000"/>
      </top>
      <bottom/>
      <diagonal/>
    </border>
    <border>
      <left style="dashed">
        <color rgb="FFC00000"/>
      </left>
      <right/>
      <top/>
      <bottom style="dashed">
        <color rgb="FFC00000"/>
      </bottom>
      <diagonal/>
    </border>
    <border>
      <left/>
      <right style="dashed">
        <color rgb="FFC00000"/>
      </right>
      <top/>
      <bottom style="dashed">
        <color rgb="FFC00000"/>
      </bottom>
      <diagonal/>
    </border>
    <border>
      <left style="double">
        <color rgb="FF3F3F3F"/>
      </left>
      <right style="double">
        <color rgb="FF3F3F3F"/>
      </right>
      <top style="double">
        <color rgb="FF3F3F3F"/>
      </top>
      <bottom style="double">
        <color rgb="FF3F3F3F"/>
      </bottom>
      <diagonal/>
    </border>
    <border>
      <left style="thick">
        <color rgb="FF132E57"/>
      </left>
      <right/>
      <top style="thick">
        <color rgb="FF132E57"/>
      </top>
      <bottom/>
      <diagonal/>
    </border>
    <border>
      <left/>
      <right/>
      <top style="thick">
        <color rgb="FF132E57"/>
      </top>
      <bottom/>
      <diagonal/>
    </border>
    <border>
      <left/>
      <right style="thick">
        <color rgb="FF132E57"/>
      </right>
      <top style="thick">
        <color rgb="FF132E57"/>
      </top>
      <bottom/>
      <diagonal/>
    </border>
    <border>
      <left style="thick">
        <color rgb="FF132E57"/>
      </left>
      <right/>
      <top/>
      <bottom/>
      <diagonal/>
    </border>
    <border>
      <left/>
      <right style="thick">
        <color rgb="FF132E57"/>
      </right>
      <top/>
      <bottom/>
      <diagonal/>
    </border>
    <border>
      <left style="thick">
        <color rgb="FF132E57"/>
      </left>
      <right/>
      <top/>
      <bottom style="thick">
        <color rgb="FF132E57"/>
      </bottom>
      <diagonal/>
    </border>
    <border>
      <left/>
      <right/>
      <top/>
      <bottom style="thick">
        <color rgb="FF132E57"/>
      </bottom>
      <diagonal/>
    </border>
    <border>
      <left/>
      <right style="thick">
        <color rgb="FF132E57"/>
      </right>
      <top/>
      <bottom style="thick">
        <color rgb="FF132E57"/>
      </bottom>
      <diagonal/>
    </border>
  </borders>
  <cellStyleXfs count="28">
    <xf numFmtId="0" fontId="0" fillId="0" borderId="0"/>
    <xf numFmtId="43" fontId="5" fillId="0" borderId="0" applyFont="0" applyFill="0" applyBorder="0" applyAlignment="0" applyProtection="0"/>
    <xf numFmtId="0" fontId="2" fillId="0" borderId="0" applyNumberFormat="0" applyFill="0" applyBorder="0" applyAlignment="0" applyProtection="0"/>
    <xf numFmtId="0" fontId="9" fillId="0" borderId="9" applyNumberFormat="0" applyFill="0" applyAlignment="0" applyProtection="0"/>
    <xf numFmtId="0" fontId="10" fillId="0" borderId="0" applyFont="0" applyFill="0" applyBorder="0" applyAlignment="0" applyProtection="0"/>
    <xf numFmtId="0" fontId="11" fillId="0" borderId="0" applyFont="0" applyFill="0" applyBorder="0" applyAlignment="0" applyProtection="0"/>
    <xf numFmtId="0" fontId="12" fillId="0" borderId="0" applyFont="0" applyFill="0" applyBorder="0" applyAlignment="0" applyProtection="0"/>
    <xf numFmtId="0" fontId="13" fillId="0" borderId="0" applyFont="0" applyFill="0" applyBorder="0" applyAlignment="0" applyProtection="0"/>
    <xf numFmtId="0" fontId="12" fillId="0" borderId="0" applyFont="0" applyFill="0" applyBorder="0" applyAlignment="0" applyProtection="0"/>
    <xf numFmtId="0" fontId="13" fillId="0" borderId="0" applyFont="0" applyFill="0" applyBorder="0" applyAlignment="0" applyProtection="0"/>
    <xf numFmtId="0" fontId="5" fillId="0" borderId="0"/>
    <xf numFmtId="0" fontId="13" fillId="0" borderId="0"/>
    <xf numFmtId="0" fontId="15" fillId="0" borderId="0"/>
    <xf numFmtId="0" fontId="15" fillId="0" borderId="0"/>
    <xf numFmtId="0" fontId="12" fillId="0" borderId="0"/>
    <xf numFmtId="0" fontId="14" fillId="0" borderId="0"/>
    <xf numFmtId="0" fontId="12" fillId="0" borderId="0"/>
    <xf numFmtId="0" fontId="13" fillId="0" borderId="0"/>
    <xf numFmtId="0" fontId="12" fillId="0" borderId="0"/>
    <xf numFmtId="0" fontId="13" fillId="0" borderId="0"/>
    <xf numFmtId="0" fontId="16" fillId="0" borderId="0"/>
    <xf numFmtId="41" fontId="17" fillId="0" borderId="0" applyFont="0" applyFill="0" applyBorder="0" applyAlignment="0" applyProtection="0"/>
    <xf numFmtId="42" fontId="17" fillId="0" borderId="0" applyFont="0" applyFill="0" applyBorder="0" applyAlignment="0" applyProtection="0"/>
    <xf numFmtId="0" fontId="18" fillId="8" borderId="30" applyNumberFormat="0" applyAlignment="0" applyProtection="0"/>
    <xf numFmtId="0" fontId="20" fillId="0" borderId="0"/>
    <xf numFmtId="0" fontId="5" fillId="0" borderId="0"/>
    <xf numFmtId="0" fontId="25" fillId="0" borderId="0" applyNumberFormat="0" applyFill="0" applyBorder="0" applyAlignment="0" applyProtection="0"/>
    <xf numFmtId="0" fontId="25" fillId="0" borderId="0" applyNumberFormat="0" applyFill="0" applyBorder="0" applyAlignment="0" applyProtection="0"/>
  </cellStyleXfs>
  <cellXfs count="552">
    <xf numFmtId="0" fontId="0" fillId="0" borderId="0" xfId="0"/>
    <xf numFmtId="0" fontId="6" fillId="0" borderId="0" xfId="0" applyFont="1" applyAlignment="1">
      <alignment vertical="center"/>
    </xf>
    <xf numFmtId="0" fontId="21" fillId="0" borderId="0" xfId="24" applyFont="1"/>
    <xf numFmtId="0" fontId="20" fillId="0" borderId="0" xfId="24"/>
    <xf numFmtId="0" fontId="21" fillId="9" borderId="31" xfId="24" applyFont="1" applyFill="1" applyBorder="1"/>
    <xf numFmtId="0" fontId="21" fillId="9" borderId="32" xfId="24" applyFont="1" applyFill="1" applyBorder="1"/>
    <xf numFmtId="0" fontId="21" fillId="9" borderId="33" xfId="24" applyFont="1" applyFill="1" applyBorder="1"/>
    <xf numFmtId="0" fontId="21" fillId="9" borderId="34" xfId="24" applyFont="1" applyFill="1" applyBorder="1"/>
    <xf numFmtId="0" fontId="21" fillId="9" borderId="0" xfId="24" applyFont="1" applyFill="1"/>
    <xf numFmtId="0" fontId="21" fillId="9" borderId="35" xfId="24" applyFont="1" applyFill="1" applyBorder="1"/>
    <xf numFmtId="0" fontId="22" fillId="0" borderId="0" xfId="24" applyFont="1"/>
    <xf numFmtId="0" fontId="21" fillId="0" borderId="34" xfId="24" applyFont="1" applyBorder="1"/>
    <xf numFmtId="0" fontId="21" fillId="0" borderId="35" xfId="24" applyFont="1" applyBorder="1"/>
    <xf numFmtId="0" fontId="23" fillId="0" borderId="0" xfId="24" applyFont="1" applyProtection="1">
      <protection locked="0"/>
    </xf>
    <xf numFmtId="0" fontId="24" fillId="0" borderId="0" xfId="24" applyFont="1" applyAlignment="1">
      <alignment horizontal="right"/>
    </xf>
    <xf numFmtId="0" fontId="21" fillId="0" borderId="0" xfId="24" applyFont="1" applyProtection="1">
      <protection locked="0"/>
    </xf>
    <xf numFmtId="0" fontId="5" fillId="0" borderId="0" xfId="25"/>
    <xf numFmtId="0" fontId="24" fillId="0" borderId="2" xfId="24" applyFont="1" applyBorder="1" applyProtection="1">
      <protection locked="0"/>
    </xf>
    <xf numFmtId="0" fontId="1" fillId="0" borderId="0" xfId="24" applyFont="1"/>
    <xf numFmtId="200" fontId="26" fillId="0" borderId="0" xfId="26" applyNumberFormat="1" applyFont="1" applyFill="1" applyBorder="1" applyProtection="1">
      <protection locked="0"/>
    </xf>
    <xf numFmtId="0" fontId="27" fillId="0" borderId="0" xfId="24" applyFont="1"/>
    <xf numFmtId="200" fontId="28" fillId="0" borderId="0" xfId="27" applyNumberFormat="1" applyFont="1" applyFill="1" applyBorder="1"/>
    <xf numFmtId="0" fontId="29" fillId="0" borderId="0" xfId="24" applyFont="1"/>
    <xf numFmtId="0" fontId="30" fillId="9" borderId="0" xfId="24" applyFont="1" applyFill="1"/>
    <xf numFmtId="0" fontId="1" fillId="9" borderId="0" xfId="24" applyFont="1" applyFill="1"/>
    <xf numFmtId="0" fontId="31" fillId="0" borderId="0" xfId="24" applyFont="1"/>
    <xf numFmtId="0" fontId="32" fillId="0" borderId="0" xfId="24" applyFont="1"/>
    <xf numFmtId="0" fontId="33" fillId="9" borderId="0" xfId="24" applyFont="1" applyFill="1"/>
    <xf numFmtId="0" fontId="34" fillId="9" borderId="0" xfId="24" applyFont="1" applyFill="1"/>
    <xf numFmtId="200" fontId="34" fillId="9" borderId="0" xfId="24" applyNumberFormat="1" applyFont="1" applyFill="1"/>
    <xf numFmtId="0" fontId="19" fillId="9" borderId="0" xfId="24" applyFont="1" applyFill="1"/>
    <xf numFmtId="200" fontId="35" fillId="9" borderId="0" xfId="26" applyNumberFormat="1" applyFont="1" applyFill="1"/>
    <xf numFmtId="0" fontId="21" fillId="0" borderId="36" xfId="24" applyFont="1" applyBorder="1"/>
    <xf numFmtId="0" fontId="21" fillId="0" borderId="37" xfId="24" applyFont="1" applyBorder="1"/>
    <xf numFmtId="0" fontId="21" fillId="0" borderId="38" xfId="24" applyFont="1" applyBorder="1"/>
    <xf numFmtId="0" fontId="36" fillId="0" borderId="0" xfId="0" applyFont="1"/>
    <xf numFmtId="0" fontId="37" fillId="0" borderId="0" xfId="0" applyFont="1"/>
    <xf numFmtId="0" fontId="38" fillId="0" borderId="0" xfId="2" applyFont="1" applyBorder="1" applyAlignment="1">
      <alignment horizontal="right"/>
    </xf>
    <xf numFmtId="0" fontId="36" fillId="0" borderId="0" xfId="0" applyFont="1" applyAlignment="1">
      <alignment vertical="center"/>
    </xf>
    <xf numFmtId="0" fontId="37" fillId="0" borderId="19" xfId="0" applyFont="1" applyBorder="1" applyAlignment="1">
      <alignment vertical="center"/>
    </xf>
    <xf numFmtId="0" fontId="36" fillId="0" borderId="19" xfId="0" applyFont="1" applyBorder="1" applyAlignment="1">
      <alignment vertical="center"/>
    </xf>
    <xf numFmtId="0" fontId="36" fillId="0" borderId="18" xfId="0" applyFont="1" applyBorder="1" applyAlignment="1">
      <alignment horizontal="center" vertical="center"/>
    </xf>
    <xf numFmtId="0" fontId="39" fillId="7" borderId="18" xfId="0" applyFont="1" applyFill="1" applyBorder="1" applyAlignment="1">
      <alignment vertical="center"/>
    </xf>
    <xf numFmtId="0" fontId="40" fillId="7" borderId="18" xfId="0" applyFont="1" applyFill="1" applyBorder="1" applyAlignment="1">
      <alignment vertical="center"/>
    </xf>
    <xf numFmtId="0" fontId="41" fillId="7" borderId="18" xfId="0" applyFont="1" applyFill="1" applyBorder="1" applyAlignment="1">
      <alignment vertical="center"/>
    </xf>
    <xf numFmtId="0" fontId="42" fillId="0" borderId="0" xfId="0" applyFont="1" applyAlignment="1">
      <alignment vertical="center"/>
    </xf>
    <xf numFmtId="0" fontId="43" fillId="5" borderId="22" xfId="0" applyFont="1" applyFill="1" applyBorder="1" applyAlignment="1">
      <alignment horizontal="left" vertical="center"/>
    </xf>
    <xf numFmtId="0" fontId="43" fillId="5" borderId="23" xfId="0" applyFont="1" applyFill="1" applyBorder="1" applyAlignment="1">
      <alignment horizontal="left" vertical="center" indent="1"/>
    </xf>
    <xf numFmtId="0" fontId="43" fillId="5" borderId="24" xfId="0" applyFont="1" applyFill="1" applyBorder="1" applyAlignment="1">
      <alignment horizontal="left" vertical="center" indent="1"/>
    </xf>
    <xf numFmtId="0" fontId="44" fillId="0" borderId="0" xfId="3" applyNumberFormat="1" applyFont="1" applyFill="1" applyBorder="1" applyAlignment="1">
      <alignment horizontal="center" vertical="center"/>
    </xf>
    <xf numFmtId="0" fontId="44" fillId="0" borderId="20" xfId="3" applyNumberFormat="1" applyFont="1" applyFill="1" applyBorder="1" applyAlignment="1">
      <alignment horizontal="center" vertical="center"/>
    </xf>
    <xf numFmtId="182" fontId="47" fillId="0" borderId="0" xfId="0" applyNumberFormat="1" applyFont="1" applyAlignment="1">
      <alignment horizontal="right" vertical="center"/>
    </xf>
    <xf numFmtId="0" fontId="36" fillId="0" borderId="3" xfId="0" applyFont="1" applyBorder="1" applyAlignment="1">
      <alignment vertical="center"/>
    </xf>
    <xf numFmtId="184" fontId="36" fillId="0" borderId="3" xfId="0" applyNumberFormat="1" applyFont="1" applyBorder="1" applyAlignment="1">
      <alignment vertical="center"/>
    </xf>
    <xf numFmtId="177" fontId="36" fillId="0" borderId="0" xfId="0" applyNumberFormat="1" applyFont="1" applyAlignment="1">
      <alignment vertical="center"/>
    </xf>
    <xf numFmtId="182" fontId="49" fillId="0" borderId="0" xfId="0" applyNumberFormat="1" applyFont="1" applyAlignment="1">
      <alignment horizontal="right" vertical="center"/>
    </xf>
    <xf numFmtId="187" fontId="50" fillId="0" borderId="0" xfId="0" applyNumberFormat="1" applyFont="1" applyAlignment="1">
      <alignment vertical="center"/>
    </xf>
    <xf numFmtId="179" fontId="36" fillId="0" borderId="0" xfId="0" applyNumberFormat="1" applyFont="1" applyAlignment="1">
      <alignment vertical="center"/>
    </xf>
    <xf numFmtId="182" fontId="49" fillId="0" borderId="0" xfId="0" applyNumberFormat="1" applyFont="1" applyAlignment="1">
      <alignment vertical="center"/>
    </xf>
    <xf numFmtId="177" fontId="45" fillId="0" borderId="0" xfId="0" applyNumberFormat="1" applyFont="1" applyAlignment="1">
      <alignment vertical="center"/>
    </xf>
    <xf numFmtId="183" fontId="51" fillId="0" borderId="0" xfId="0" applyNumberFormat="1" applyFont="1" applyAlignment="1">
      <alignment vertical="center"/>
    </xf>
    <xf numFmtId="0" fontId="43" fillId="0" borderId="0" xfId="0" applyFont="1"/>
    <xf numFmtId="0" fontId="36" fillId="0" borderId="0" xfId="0" applyFont="1" applyAlignment="1">
      <alignment horizontal="left" vertical="center"/>
    </xf>
    <xf numFmtId="181" fontId="52" fillId="0" borderId="0" xfId="0" applyNumberFormat="1" applyFont="1" applyAlignment="1">
      <alignment horizontal="right" vertical="center"/>
    </xf>
    <xf numFmtId="179" fontId="45" fillId="0" borderId="0" xfId="0" applyNumberFormat="1" applyFont="1" applyAlignment="1">
      <alignment vertical="center"/>
    </xf>
    <xf numFmtId="183" fontId="36" fillId="0" borderId="0" xfId="0" applyNumberFormat="1" applyFont="1" applyAlignment="1">
      <alignment vertical="center"/>
    </xf>
    <xf numFmtId="171" fontId="46" fillId="0" borderId="0" xfId="0" applyNumberFormat="1" applyFont="1" applyAlignment="1">
      <alignment horizontal="right" vertical="center"/>
    </xf>
    <xf numFmtId="177" fontId="36" fillId="0" borderId="3" xfId="0" applyNumberFormat="1" applyFont="1" applyBorder="1" applyAlignment="1">
      <alignment vertical="center"/>
    </xf>
    <xf numFmtId="177" fontId="51" fillId="0" borderId="0" xfId="0" applyNumberFormat="1" applyFont="1" applyAlignment="1">
      <alignment horizontal="right" vertical="center"/>
    </xf>
    <xf numFmtId="171" fontId="53" fillId="0" borderId="0" xfId="0" applyNumberFormat="1" applyFont="1" applyAlignment="1">
      <alignment vertical="center"/>
    </xf>
    <xf numFmtId="183" fontId="36" fillId="0" borderId="3" xfId="0" applyNumberFormat="1" applyFont="1" applyBorder="1" applyAlignment="1">
      <alignment vertical="center"/>
    </xf>
    <xf numFmtId="184" fontId="36" fillId="0" borderId="0" xfId="0" applyNumberFormat="1" applyFont="1" applyAlignment="1">
      <alignment vertical="center"/>
    </xf>
    <xf numFmtId="177" fontId="51" fillId="0" borderId="3" xfId="0" applyNumberFormat="1" applyFont="1" applyBorder="1" applyAlignment="1">
      <alignment vertical="center"/>
    </xf>
    <xf numFmtId="0" fontId="43" fillId="6" borderId="3" xfId="0" applyFont="1" applyFill="1" applyBorder="1" applyAlignment="1">
      <alignment vertical="center"/>
    </xf>
    <xf numFmtId="177" fontId="43" fillId="6" borderId="3" xfId="0" applyNumberFormat="1" applyFont="1" applyFill="1" applyBorder="1" applyAlignment="1">
      <alignment vertical="center"/>
    </xf>
    <xf numFmtId="182" fontId="52" fillId="0" borderId="0" xfId="0" applyNumberFormat="1" applyFont="1" applyAlignment="1">
      <alignment vertical="center"/>
    </xf>
    <xf numFmtId="0" fontId="43" fillId="6" borderId="6" xfId="0" applyFont="1" applyFill="1" applyBorder="1" applyAlignment="1">
      <alignment vertical="center"/>
    </xf>
    <xf numFmtId="179" fontId="43" fillId="6" borderId="6" xfId="0" applyNumberFormat="1" applyFont="1" applyFill="1" applyBorder="1" applyAlignment="1">
      <alignment vertical="center"/>
    </xf>
    <xf numFmtId="181" fontId="47" fillId="0" borderId="0" xfId="0" applyNumberFormat="1" applyFont="1" applyAlignment="1">
      <alignment horizontal="right" vertical="center"/>
    </xf>
    <xf numFmtId="0" fontId="36" fillId="0" borderId="0" xfId="0" applyFont="1" applyAlignment="1">
      <alignment horizontal="left" vertical="center" indent="2"/>
    </xf>
    <xf numFmtId="0" fontId="43" fillId="0" borderId="0" xfId="0" applyFont="1" applyAlignment="1">
      <alignment vertical="center"/>
    </xf>
    <xf numFmtId="0" fontId="36" fillId="0" borderId="8" xfId="0" applyFont="1" applyBorder="1" applyAlignment="1">
      <alignment vertical="center"/>
    </xf>
    <xf numFmtId="177" fontId="51" fillId="0" borderId="8" xfId="0" applyNumberFormat="1" applyFont="1" applyBorder="1" applyAlignment="1">
      <alignment vertical="center"/>
    </xf>
    <xf numFmtId="179" fontId="51" fillId="0" borderId="0" xfId="0" applyNumberFormat="1" applyFont="1" applyAlignment="1">
      <alignment vertical="center"/>
    </xf>
    <xf numFmtId="177" fontId="51" fillId="0" borderId="0" xfId="0" applyNumberFormat="1" applyFont="1" applyAlignment="1">
      <alignment vertical="center"/>
    </xf>
    <xf numFmtId="171" fontId="36" fillId="0" borderId="0" xfId="0" applyNumberFormat="1" applyFont="1" applyAlignment="1">
      <alignment vertical="center"/>
    </xf>
    <xf numFmtId="0" fontId="36" fillId="0" borderId="3" xfId="0" applyFont="1" applyBorder="1" applyAlignment="1">
      <alignment horizontal="left" vertical="center" indent="1"/>
    </xf>
    <xf numFmtId="179" fontId="36" fillId="0" borderId="3" xfId="0" applyNumberFormat="1" applyFont="1" applyBorder="1" applyAlignment="1">
      <alignment vertical="center"/>
    </xf>
    <xf numFmtId="0" fontId="36" fillId="0" borderId="0" xfId="0" applyFont="1" applyAlignment="1">
      <alignment horizontal="left" vertical="center" indent="1"/>
    </xf>
    <xf numFmtId="0" fontId="43" fillId="0" borderId="6" xfId="0" applyFont="1" applyBorder="1" applyAlignment="1">
      <alignment horizontal="left" vertical="center"/>
    </xf>
    <xf numFmtId="0" fontId="43" fillId="0" borderId="6" xfId="0" applyFont="1" applyBorder="1" applyAlignment="1">
      <alignment vertical="center"/>
    </xf>
    <xf numFmtId="177" fontId="54" fillId="0" borderId="6" xfId="0" applyNumberFormat="1" applyFont="1" applyBorder="1" applyAlignment="1">
      <alignment vertical="center"/>
    </xf>
    <xf numFmtId="0" fontId="43" fillId="6" borderId="1" xfId="0" applyFont="1" applyFill="1" applyBorder="1" applyAlignment="1">
      <alignment vertical="center"/>
    </xf>
    <xf numFmtId="177" fontId="54" fillId="6" borderId="1" xfId="0" applyNumberFormat="1" applyFont="1" applyFill="1" applyBorder="1" applyAlignment="1">
      <alignment vertical="center"/>
    </xf>
    <xf numFmtId="182" fontId="55" fillId="6" borderId="1" xfId="0" applyNumberFormat="1" applyFont="1" applyFill="1" applyBorder="1" applyAlignment="1">
      <alignment vertical="center"/>
    </xf>
    <xf numFmtId="187" fontId="54" fillId="6" borderId="1" xfId="0" applyNumberFormat="1" applyFont="1" applyFill="1" applyBorder="1" applyAlignment="1">
      <alignment vertical="center"/>
    </xf>
    <xf numFmtId="178" fontId="36" fillId="0" borderId="0" xfId="0" applyNumberFormat="1" applyFont="1" applyAlignment="1">
      <alignment vertical="center"/>
    </xf>
    <xf numFmtId="0" fontId="53" fillId="0" borderId="0" xfId="0" applyFont="1"/>
    <xf numFmtId="0" fontId="44" fillId="0" borderId="21" xfId="3" applyNumberFormat="1" applyFont="1" applyFill="1" applyBorder="1" applyAlignment="1">
      <alignment horizontal="center" vertical="center"/>
    </xf>
    <xf numFmtId="185" fontId="51" fillId="0" borderId="0" xfId="0" applyNumberFormat="1" applyFont="1" applyAlignment="1">
      <alignment horizontal="right" vertical="center"/>
    </xf>
    <xf numFmtId="177" fontId="48" fillId="0" borderId="0" xfId="0" applyNumberFormat="1" applyFont="1" applyAlignment="1">
      <alignment vertical="center"/>
    </xf>
    <xf numFmtId="180" fontId="51" fillId="0" borderId="0" xfId="0" applyNumberFormat="1" applyFont="1" applyAlignment="1">
      <alignment horizontal="right" vertical="center"/>
    </xf>
    <xf numFmtId="179" fontId="36" fillId="0" borderId="0" xfId="0" applyNumberFormat="1" applyFont="1"/>
    <xf numFmtId="179" fontId="48" fillId="0" borderId="0" xfId="0" applyNumberFormat="1" applyFont="1" applyAlignment="1">
      <alignment vertical="center"/>
    </xf>
    <xf numFmtId="0" fontId="43" fillId="6" borderId="4" xfId="0" applyFont="1" applyFill="1" applyBorder="1" applyAlignment="1">
      <alignment vertical="center"/>
    </xf>
    <xf numFmtId="177" fontId="54" fillId="6" borderId="4" xfId="0" applyNumberFormat="1" applyFont="1" applyFill="1" applyBorder="1" applyAlignment="1">
      <alignment vertical="center"/>
    </xf>
    <xf numFmtId="7" fontId="36" fillId="0" borderId="0" xfId="0" applyNumberFormat="1" applyFont="1"/>
    <xf numFmtId="165" fontId="56" fillId="0" borderId="0" xfId="0" applyNumberFormat="1" applyFont="1" applyAlignment="1">
      <alignment horizontal="center"/>
    </xf>
    <xf numFmtId="0" fontId="44" fillId="0" borderId="0" xfId="0" applyFont="1"/>
    <xf numFmtId="175" fontId="44" fillId="0" borderId="0" xfId="0" applyNumberFormat="1" applyFont="1" applyAlignment="1">
      <alignment horizontal="center" vertical="center"/>
    </xf>
    <xf numFmtId="0" fontId="36" fillId="0" borderId="0" xfId="0" applyFont="1" applyAlignment="1">
      <alignment horizontal="left" indent="1"/>
    </xf>
    <xf numFmtId="0" fontId="44" fillId="0" borderId="21" xfId="3" applyNumberFormat="1" applyFont="1" applyFill="1" applyBorder="1" applyAlignment="1">
      <alignment horizontal="left" vertical="center"/>
    </xf>
    <xf numFmtId="0" fontId="48" fillId="0" borderId="0" xfId="0" applyFont="1" applyAlignment="1">
      <alignment vertical="center"/>
    </xf>
    <xf numFmtId="179" fontId="57" fillId="0" borderId="0" xfId="0" applyNumberFormat="1" applyFont="1" applyAlignment="1">
      <alignment vertical="center"/>
    </xf>
    <xf numFmtId="179" fontId="36" fillId="0" borderId="8" xfId="0" applyNumberFormat="1" applyFont="1" applyBorder="1" applyAlignment="1">
      <alignment vertical="center"/>
    </xf>
    <xf numFmtId="179" fontId="50" fillId="0" borderId="8" xfId="0" applyNumberFormat="1" applyFont="1" applyBorder="1" applyAlignment="1">
      <alignment vertical="center"/>
    </xf>
    <xf numFmtId="0" fontId="41" fillId="0" borderId="3" xfId="0" applyFont="1" applyBorder="1" applyAlignment="1">
      <alignment vertical="center"/>
    </xf>
    <xf numFmtId="177" fontId="41" fillId="0" borderId="3" xfId="0" applyNumberFormat="1" applyFont="1" applyBorder="1" applyAlignment="1">
      <alignment vertical="center"/>
    </xf>
    <xf numFmtId="0" fontId="36" fillId="6" borderId="4" xfId="0" applyFont="1" applyFill="1" applyBorder="1" applyAlignment="1">
      <alignment vertical="center"/>
    </xf>
    <xf numFmtId="183" fontId="53" fillId="0" borderId="0" xfId="0" applyNumberFormat="1" applyFont="1" applyAlignment="1">
      <alignment horizontal="right" vertical="center"/>
    </xf>
    <xf numFmtId="188" fontId="36" fillId="0" borderId="0" xfId="0" applyNumberFormat="1" applyFont="1"/>
    <xf numFmtId="0" fontId="36" fillId="0" borderId="10" xfId="0" applyFont="1" applyBorder="1"/>
    <xf numFmtId="0" fontId="58" fillId="0" borderId="0" xfId="0" applyFont="1" applyAlignment="1">
      <alignment horizontal="right" vertical="center"/>
    </xf>
    <xf numFmtId="0" fontId="59" fillId="0" borderId="0" xfId="0" applyFont="1"/>
    <xf numFmtId="176" fontId="59" fillId="0" borderId="0" xfId="0" applyNumberFormat="1" applyFont="1" applyAlignment="1">
      <alignment horizontal="center" vertical="center"/>
    </xf>
    <xf numFmtId="0" fontId="59" fillId="0" borderId="0" xfId="0" applyFont="1" applyAlignment="1">
      <alignment horizontal="centerContinuous"/>
    </xf>
    <xf numFmtId="176" fontId="44" fillId="0" borderId="0" xfId="0" applyNumberFormat="1" applyFont="1" applyAlignment="1">
      <alignment horizontal="center" vertical="center"/>
    </xf>
    <xf numFmtId="0" fontId="60" fillId="0" borderId="0" xfId="3" applyFont="1" applyFill="1" applyBorder="1" applyAlignment="1">
      <alignment horizontal="centerContinuous" vertical="center"/>
    </xf>
    <xf numFmtId="0" fontId="44" fillId="0" borderId="0" xfId="3" applyFont="1" applyFill="1" applyBorder="1" applyAlignment="1">
      <alignment horizontal="centerContinuous" vertical="center"/>
    </xf>
    <xf numFmtId="176" fontId="59" fillId="0" borderId="0" xfId="0" applyNumberFormat="1" applyFont="1" applyAlignment="1">
      <alignment horizontal="center"/>
    </xf>
    <xf numFmtId="0" fontId="61" fillId="0" borderId="21" xfId="0" applyFont="1" applyBorder="1" applyAlignment="1">
      <alignment horizontal="left" vertical="center"/>
    </xf>
    <xf numFmtId="0" fontId="62" fillId="0" borderId="21" xfId="3" applyNumberFormat="1" applyFont="1" applyBorder="1" applyAlignment="1">
      <alignment horizontal="center" vertical="center"/>
    </xf>
    <xf numFmtId="189" fontId="62" fillId="0" borderId="21" xfId="3" applyNumberFormat="1" applyFont="1" applyBorder="1" applyAlignment="1">
      <alignment horizontal="center" vertical="center"/>
    </xf>
    <xf numFmtId="189" fontId="44" fillId="0" borderId="21" xfId="3" applyNumberFormat="1" applyFont="1" applyBorder="1" applyAlignment="1">
      <alignment horizontal="center" vertical="center"/>
    </xf>
    <xf numFmtId="190" fontId="44" fillId="0" borderId="21" xfId="3" applyNumberFormat="1" applyFont="1" applyFill="1" applyBorder="1" applyAlignment="1">
      <alignment horizontal="center"/>
    </xf>
    <xf numFmtId="0" fontId="53" fillId="0" borderId="0" xfId="0" applyFont="1" applyAlignment="1">
      <alignment horizontal="right" vertical="center"/>
    </xf>
    <xf numFmtId="177" fontId="36" fillId="0" borderId="0" xfId="0" applyNumberFormat="1" applyFont="1" applyAlignment="1">
      <alignment horizontal="right" vertical="center"/>
    </xf>
    <xf numFmtId="179" fontId="36" fillId="0" borderId="0" xfId="0" applyNumberFormat="1" applyFont="1" applyAlignment="1">
      <alignment horizontal="right" vertical="center"/>
    </xf>
    <xf numFmtId="0" fontId="36" fillId="0" borderId="3" xfId="0" applyFont="1" applyBorder="1" applyAlignment="1">
      <alignment horizontal="left" vertical="center"/>
    </xf>
    <xf numFmtId="168" fontId="36" fillId="0" borderId="0" xfId="0" applyNumberFormat="1" applyFont="1" applyAlignment="1">
      <alignment vertical="center"/>
    </xf>
    <xf numFmtId="0" fontId="36" fillId="0" borderId="4" xfId="0" applyFont="1" applyBorder="1" applyAlignment="1">
      <alignment horizontal="left" vertical="center"/>
    </xf>
    <xf numFmtId="0" fontId="36" fillId="0" borderId="4" xfId="0" applyFont="1" applyBorder="1" applyAlignment="1">
      <alignment vertical="center"/>
    </xf>
    <xf numFmtId="177" fontId="50" fillId="0" borderId="4" xfId="0" applyNumberFormat="1" applyFont="1" applyBorder="1" applyAlignment="1">
      <alignment vertical="center"/>
    </xf>
    <xf numFmtId="0" fontId="63" fillId="0" borderId="0" xfId="0" applyFont="1" applyAlignment="1">
      <alignment vertical="center"/>
    </xf>
    <xf numFmtId="174" fontId="43" fillId="0" borderId="0" xfId="0" applyNumberFormat="1" applyFont="1" applyAlignment="1">
      <alignment vertical="center"/>
    </xf>
    <xf numFmtId="174" fontId="36" fillId="0" borderId="0" xfId="0" applyNumberFormat="1" applyFont="1" applyAlignment="1">
      <alignment vertical="center"/>
    </xf>
    <xf numFmtId="195" fontId="57" fillId="0" borderId="0" xfId="0" applyNumberFormat="1" applyFont="1" applyAlignment="1">
      <alignment horizontal="right" vertical="center"/>
    </xf>
    <xf numFmtId="195" fontId="50" fillId="0" borderId="0" xfId="0" applyNumberFormat="1" applyFont="1" applyAlignment="1">
      <alignment horizontal="right" vertical="center"/>
    </xf>
    <xf numFmtId="0" fontId="36" fillId="0" borderId="0" xfId="0" applyFont="1" applyAlignment="1">
      <alignment horizontal="right" vertical="center"/>
    </xf>
    <xf numFmtId="187" fontId="50" fillId="0" borderId="0" xfId="0" applyNumberFormat="1" applyFont="1" applyAlignment="1">
      <alignment horizontal="right" vertical="center"/>
    </xf>
    <xf numFmtId="0" fontId="64" fillId="0" borderId="0" xfId="0" applyFont="1" applyAlignment="1">
      <alignment vertical="center"/>
    </xf>
    <xf numFmtId="170" fontId="50" fillId="0" borderId="0" xfId="0" applyNumberFormat="1" applyFont="1" applyAlignment="1">
      <alignment horizontal="right" vertical="center"/>
    </xf>
    <xf numFmtId="0" fontId="36" fillId="0" borderId="10" xfId="0" applyFont="1" applyBorder="1" applyAlignment="1">
      <alignment vertical="center"/>
    </xf>
    <xf numFmtId="0" fontId="53" fillId="0" borderId="10" xfId="0" applyFont="1" applyBorder="1" applyAlignment="1">
      <alignment horizontal="right" vertical="center"/>
    </xf>
    <xf numFmtId="0" fontId="42" fillId="0" borderId="0" xfId="0" applyFont="1"/>
    <xf numFmtId="0" fontId="58" fillId="0" borderId="0" xfId="0" applyFont="1" applyAlignment="1">
      <alignment horizontal="right"/>
    </xf>
    <xf numFmtId="0" fontId="44" fillId="0" borderId="0" xfId="0" applyFont="1" applyAlignment="1">
      <alignment horizontal="centerContinuous"/>
    </xf>
    <xf numFmtId="176" fontId="44" fillId="0" borderId="0" xfId="0" applyNumberFormat="1" applyFont="1" applyAlignment="1">
      <alignment horizontal="center"/>
    </xf>
    <xf numFmtId="0" fontId="44" fillId="0" borderId="21" xfId="3" applyNumberFormat="1" applyFont="1" applyBorder="1" applyAlignment="1">
      <alignment horizontal="center" vertical="center"/>
    </xf>
    <xf numFmtId="188" fontId="51" fillId="0" borderId="0" xfId="0" applyNumberFormat="1" applyFont="1" applyAlignment="1">
      <alignment horizontal="right" vertical="center"/>
    </xf>
    <xf numFmtId="0" fontId="36" fillId="0" borderId="0" xfId="0" applyFont="1" applyAlignment="1">
      <alignment horizontal="right"/>
    </xf>
    <xf numFmtId="177" fontId="65" fillId="0" borderId="0" xfId="0" applyNumberFormat="1" applyFont="1" applyAlignment="1">
      <alignment vertical="center"/>
    </xf>
    <xf numFmtId="177" fontId="43" fillId="0" borderId="0" xfId="0" applyNumberFormat="1" applyFont="1" applyAlignment="1">
      <alignment horizontal="right" vertical="center"/>
    </xf>
    <xf numFmtId="177" fontId="67" fillId="0" borderId="0" xfId="0" applyNumberFormat="1" applyFont="1" applyAlignment="1">
      <alignment horizontal="right" vertical="center"/>
    </xf>
    <xf numFmtId="179" fontId="68" fillId="0" borderId="0" xfId="0" applyNumberFormat="1" applyFont="1" applyAlignment="1">
      <alignment vertical="center"/>
    </xf>
    <xf numFmtId="179" fontId="50" fillId="0" borderId="3" xfId="0" applyNumberFormat="1" applyFont="1" applyBorder="1" applyAlignment="1">
      <alignment vertical="center"/>
    </xf>
    <xf numFmtId="179" fontId="50" fillId="0" borderId="3" xfId="0" applyNumberFormat="1" applyFont="1" applyBorder="1" applyAlignment="1">
      <alignment horizontal="right" vertical="center"/>
    </xf>
    <xf numFmtId="0" fontId="43" fillId="0" borderId="3" xfId="0" applyFont="1" applyBorder="1" applyAlignment="1">
      <alignment vertical="center"/>
    </xf>
    <xf numFmtId="179" fontId="43" fillId="0" borderId="3" xfId="0" applyNumberFormat="1" applyFont="1" applyBorder="1" applyAlignment="1">
      <alignment vertical="center"/>
    </xf>
    <xf numFmtId="179" fontId="43" fillId="0" borderId="3" xfId="0" applyNumberFormat="1" applyFont="1" applyBorder="1" applyAlignment="1">
      <alignment horizontal="right" vertical="center"/>
    </xf>
    <xf numFmtId="179" fontId="51" fillId="0" borderId="0" xfId="0" applyNumberFormat="1" applyFont="1" applyAlignment="1">
      <alignment horizontal="right" vertical="center"/>
    </xf>
    <xf numFmtId="179" fontId="36" fillId="0" borderId="3" xfId="0" applyNumberFormat="1" applyFont="1" applyBorder="1" applyAlignment="1">
      <alignment horizontal="right" vertical="center"/>
    </xf>
    <xf numFmtId="179" fontId="36" fillId="0" borderId="0" xfId="0" applyNumberFormat="1" applyFont="1" applyAlignment="1">
      <alignment horizontal="right"/>
    </xf>
    <xf numFmtId="7" fontId="36" fillId="0" borderId="0" xfId="0" applyNumberFormat="1" applyFont="1" applyAlignment="1">
      <alignment horizontal="right" vertical="center"/>
    </xf>
    <xf numFmtId="0" fontId="36" fillId="0" borderId="3" xfId="0" applyFont="1" applyBorder="1" applyAlignment="1">
      <alignment horizontal="right" vertical="center"/>
    </xf>
    <xf numFmtId="179" fontId="54" fillId="0" borderId="3" xfId="0" applyNumberFormat="1" applyFont="1" applyBorder="1" applyAlignment="1">
      <alignment vertical="center"/>
    </xf>
    <xf numFmtId="179" fontId="54" fillId="0" borderId="3" xfId="0" applyNumberFormat="1" applyFont="1" applyBorder="1" applyAlignment="1">
      <alignment horizontal="right" vertical="center"/>
    </xf>
    <xf numFmtId="0" fontId="43" fillId="0" borderId="3" xfId="0" applyFont="1" applyBorder="1" applyAlignment="1">
      <alignment horizontal="right" vertical="center"/>
    </xf>
    <xf numFmtId="179" fontId="54" fillId="6" borderId="4" xfId="0" applyNumberFormat="1" applyFont="1" applyFill="1" applyBorder="1" applyAlignment="1">
      <alignment vertical="center"/>
    </xf>
    <xf numFmtId="177" fontId="54" fillId="6" borderId="4" xfId="0" applyNumberFormat="1" applyFont="1" applyFill="1" applyBorder="1" applyAlignment="1">
      <alignment horizontal="right" vertical="center"/>
    </xf>
    <xf numFmtId="0" fontId="43" fillId="6" borderId="4" xfId="0" applyFont="1" applyFill="1" applyBorder="1" applyAlignment="1">
      <alignment horizontal="right" vertical="center"/>
    </xf>
    <xf numFmtId="179" fontId="54" fillId="6" borderId="4" xfId="0" applyNumberFormat="1" applyFont="1" applyFill="1" applyBorder="1" applyAlignment="1">
      <alignment horizontal="right" vertical="center"/>
    </xf>
    <xf numFmtId="0" fontId="36" fillId="6" borderId="4" xfId="0" applyFont="1" applyFill="1" applyBorder="1" applyAlignment="1">
      <alignment horizontal="right" vertical="center"/>
    </xf>
    <xf numFmtId="184" fontId="36" fillId="0" borderId="0" xfId="0" applyNumberFormat="1" applyFont="1" applyAlignment="1">
      <alignment horizontal="right" vertical="center"/>
    </xf>
    <xf numFmtId="188" fontId="36" fillId="0" borderId="0" xfId="0" applyNumberFormat="1" applyFont="1" applyAlignment="1">
      <alignment horizontal="right" vertical="center"/>
    </xf>
    <xf numFmtId="164" fontId="36" fillId="0" borderId="0" xfId="0" applyNumberFormat="1" applyFont="1" applyAlignment="1">
      <alignment horizontal="right" vertical="center"/>
    </xf>
    <xf numFmtId="0" fontId="43" fillId="6" borderId="0" xfId="0" applyFont="1" applyFill="1" applyAlignment="1">
      <alignment vertical="center"/>
    </xf>
    <xf numFmtId="0" fontId="43" fillId="6" borderId="0" xfId="0" applyFont="1" applyFill="1" applyAlignment="1">
      <alignment horizontal="right" vertical="center"/>
    </xf>
    <xf numFmtId="184" fontId="43" fillId="6" borderId="0" xfId="0" applyNumberFormat="1" applyFont="1" applyFill="1" applyAlignment="1">
      <alignment horizontal="right" vertical="center"/>
    </xf>
    <xf numFmtId="182" fontId="55" fillId="6" borderId="0" xfId="0" applyNumberFormat="1" applyFont="1" applyFill="1" applyAlignment="1">
      <alignment horizontal="right" vertical="center"/>
    </xf>
    <xf numFmtId="188" fontId="36" fillId="0" borderId="0" xfId="0" applyNumberFormat="1" applyFont="1" applyAlignment="1">
      <alignment vertical="center"/>
    </xf>
    <xf numFmtId="184" fontId="51" fillId="0" borderId="0" xfId="0" applyNumberFormat="1" applyFont="1" applyAlignment="1">
      <alignment horizontal="right" vertical="center"/>
    </xf>
    <xf numFmtId="179" fontId="45" fillId="0" borderId="0" xfId="0" applyNumberFormat="1" applyFont="1" applyAlignment="1">
      <alignment horizontal="right" vertical="center"/>
    </xf>
    <xf numFmtId="177" fontId="66" fillId="0" borderId="0" xfId="0" applyNumberFormat="1" applyFont="1" applyAlignment="1">
      <alignment vertical="center"/>
    </xf>
    <xf numFmtId="0" fontId="46" fillId="0" borderId="0" xfId="0" applyFont="1" applyAlignment="1">
      <alignment horizontal="right" vertical="center"/>
    </xf>
    <xf numFmtId="182" fontId="47" fillId="0" borderId="0" xfId="0" applyNumberFormat="1" applyFont="1" applyAlignment="1">
      <alignment vertical="center"/>
    </xf>
    <xf numFmtId="165" fontId="36" fillId="0" borderId="0" xfId="0" applyNumberFormat="1" applyFont="1" applyAlignment="1">
      <alignment vertical="center"/>
    </xf>
    <xf numFmtId="165" fontId="49" fillId="0" borderId="0" xfId="0" applyNumberFormat="1" applyFont="1" applyAlignment="1">
      <alignment vertical="center"/>
    </xf>
    <xf numFmtId="182" fontId="53" fillId="0" borderId="0" xfId="0" applyNumberFormat="1" applyFont="1" applyAlignment="1">
      <alignment vertical="center"/>
    </xf>
    <xf numFmtId="165" fontId="52" fillId="0" borderId="0" xfId="0" applyNumberFormat="1" applyFont="1" applyAlignment="1">
      <alignment vertical="center"/>
    </xf>
    <xf numFmtId="165" fontId="47" fillId="0" borderId="0" xfId="0" applyNumberFormat="1" applyFont="1" applyAlignment="1">
      <alignment vertical="center"/>
    </xf>
    <xf numFmtId="165" fontId="53" fillId="0" borderId="0" xfId="0" applyNumberFormat="1" applyFont="1" applyAlignment="1">
      <alignment vertical="center"/>
    </xf>
    <xf numFmtId="182" fontId="69" fillId="0" borderId="0" xfId="0" applyNumberFormat="1" applyFont="1" applyAlignment="1">
      <alignment vertical="center"/>
    </xf>
    <xf numFmtId="0" fontId="70" fillId="0" borderId="0" xfId="0" applyFont="1"/>
    <xf numFmtId="0" fontId="71" fillId="0" borderId="0" xfId="0" applyFont="1" applyAlignment="1">
      <alignment horizontal="centerContinuous" vertical="center"/>
    </xf>
    <xf numFmtId="0" fontId="60" fillId="0" borderId="0" xfId="0" applyFont="1" applyAlignment="1">
      <alignment horizontal="centerContinuous" vertical="center"/>
    </xf>
    <xf numFmtId="0" fontId="44" fillId="0" borderId="0" xfId="0" applyFont="1" applyAlignment="1">
      <alignment horizontal="center" vertical="center"/>
    </xf>
    <xf numFmtId="175" fontId="62" fillId="0" borderId="0" xfId="0" applyNumberFormat="1" applyFont="1" applyAlignment="1">
      <alignment horizontal="center"/>
    </xf>
    <xf numFmtId="0" fontId="62" fillId="0" borderId="21" xfId="0" applyFont="1" applyBorder="1" applyAlignment="1">
      <alignment horizontal="center" vertical="center"/>
    </xf>
    <xf numFmtId="189" fontId="44" fillId="0" borderId="21" xfId="0" applyNumberFormat="1" applyFont="1" applyBorder="1" applyAlignment="1">
      <alignment horizontal="center" vertical="center"/>
    </xf>
    <xf numFmtId="0" fontId="44" fillId="0" borderId="21" xfId="0" applyFont="1" applyBorder="1" applyAlignment="1">
      <alignment horizontal="center" vertical="center"/>
    </xf>
    <xf numFmtId="190" fontId="44" fillId="0" borderId="21" xfId="0" applyNumberFormat="1" applyFont="1" applyBorder="1" applyAlignment="1">
      <alignment horizontal="center"/>
    </xf>
    <xf numFmtId="0" fontId="36" fillId="6" borderId="0" xfId="0" applyFont="1" applyFill="1"/>
    <xf numFmtId="177" fontId="57" fillId="0" borderId="0" xfId="0" applyNumberFormat="1" applyFont="1" applyAlignment="1">
      <alignment vertical="center"/>
    </xf>
    <xf numFmtId="177" fontId="36" fillId="6" borderId="0" xfId="0" applyNumberFormat="1" applyFont="1" applyFill="1" applyAlignment="1">
      <alignment vertical="center"/>
    </xf>
    <xf numFmtId="178" fontId="50" fillId="6" borderId="0" xfId="0" applyNumberFormat="1" applyFont="1" applyFill="1" applyAlignment="1">
      <alignment vertical="center"/>
    </xf>
    <xf numFmtId="179" fontId="50" fillId="6" borderId="3" xfId="0" applyNumberFormat="1" applyFont="1" applyFill="1" applyBorder="1" applyAlignment="1">
      <alignment vertical="center"/>
    </xf>
    <xf numFmtId="179" fontId="50" fillId="0" borderId="0" xfId="0" applyNumberFormat="1" applyFont="1" applyAlignment="1">
      <alignment vertical="center"/>
    </xf>
    <xf numFmtId="179" fontId="36" fillId="6" borderId="0" xfId="0" applyNumberFormat="1" applyFont="1" applyFill="1" applyAlignment="1">
      <alignment vertical="center"/>
    </xf>
    <xf numFmtId="179" fontId="45" fillId="0" borderId="3" xfId="0" applyNumberFormat="1" applyFont="1" applyBorder="1" applyAlignment="1">
      <alignment vertical="center"/>
    </xf>
    <xf numFmtId="179" fontId="36" fillId="6" borderId="3" xfId="0" applyNumberFormat="1" applyFont="1" applyFill="1" applyBorder="1" applyAlignment="1">
      <alignment vertical="center"/>
    </xf>
    <xf numFmtId="0" fontId="43" fillId="0" borderId="4" xfId="0" applyFont="1" applyBorder="1" applyAlignment="1">
      <alignment vertical="center"/>
    </xf>
    <xf numFmtId="177" fontId="54" fillId="0" borderId="4" xfId="0" applyNumberFormat="1" applyFont="1" applyBorder="1" applyAlignment="1">
      <alignment vertical="center"/>
    </xf>
    <xf numFmtId="0" fontId="36" fillId="6" borderId="0" xfId="0" applyFont="1" applyFill="1" applyAlignment="1">
      <alignment vertical="center"/>
    </xf>
    <xf numFmtId="179" fontId="50" fillId="6" borderId="0" xfId="0" applyNumberFormat="1" applyFont="1" applyFill="1" applyAlignment="1">
      <alignment vertical="center"/>
    </xf>
    <xf numFmtId="179" fontId="51" fillId="0" borderId="8" xfId="0" applyNumberFormat="1" applyFont="1" applyBorder="1" applyAlignment="1">
      <alignment vertical="center"/>
    </xf>
    <xf numFmtId="179" fontId="51" fillId="6" borderId="8" xfId="0" applyNumberFormat="1" applyFont="1" applyFill="1" applyBorder="1" applyAlignment="1">
      <alignment vertical="center"/>
    </xf>
    <xf numFmtId="179" fontId="54" fillId="0" borderId="4" xfId="0" applyNumberFormat="1" applyFont="1" applyBorder="1" applyAlignment="1">
      <alignment vertical="center"/>
    </xf>
    <xf numFmtId="0" fontId="43" fillId="0" borderId="4" xfId="0" applyFont="1" applyBorder="1" applyAlignment="1">
      <alignment horizontal="left" vertical="center"/>
    </xf>
    <xf numFmtId="0" fontId="57" fillId="0" borderId="0" xfId="0" applyFont="1"/>
    <xf numFmtId="0" fontId="69" fillId="0" borderId="0" xfId="0" applyFont="1"/>
    <xf numFmtId="183" fontId="69" fillId="0" borderId="0" xfId="0" applyNumberFormat="1" applyFont="1"/>
    <xf numFmtId="183" fontId="69" fillId="6" borderId="0" xfId="0" applyNumberFormat="1" applyFont="1" applyFill="1"/>
    <xf numFmtId="182" fontId="72" fillId="0" borderId="10" xfId="0" applyNumberFormat="1" applyFont="1" applyBorder="1" applyAlignment="1">
      <alignment vertical="center"/>
    </xf>
    <xf numFmtId="182" fontId="49" fillId="0" borderId="10" xfId="0" applyNumberFormat="1" applyFont="1" applyBorder="1" applyAlignment="1">
      <alignment vertical="center"/>
    </xf>
    <xf numFmtId="183" fontId="72" fillId="0" borderId="0" xfId="0" applyNumberFormat="1" applyFont="1"/>
    <xf numFmtId="167" fontId="50" fillId="0" borderId="0" xfId="0" applyNumberFormat="1" applyFont="1"/>
    <xf numFmtId="0" fontId="44" fillId="0" borderId="0" xfId="0" applyFont="1" applyAlignment="1">
      <alignment horizontal="centerContinuous" vertical="center"/>
    </xf>
    <xf numFmtId="0" fontId="50" fillId="0" borderId="0" xfId="0" applyFont="1" applyAlignment="1">
      <alignment horizontal="left" vertical="center"/>
    </xf>
    <xf numFmtId="0" fontId="50" fillId="0" borderId="0" xfId="0" applyFont="1" applyAlignment="1">
      <alignment horizontal="center" vertical="center"/>
    </xf>
    <xf numFmtId="166" fontId="50" fillId="0" borderId="0" xfId="0" applyNumberFormat="1" applyFont="1" applyAlignment="1">
      <alignment horizontal="center" vertical="center"/>
    </xf>
    <xf numFmtId="3" fontId="36" fillId="0" borderId="0" xfId="0" applyNumberFormat="1" applyFont="1" applyAlignment="1">
      <alignment horizontal="center" vertical="center"/>
    </xf>
    <xf numFmtId="166" fontId="45" fillId="0" borderId="0" xfId="0" applyNumberFormat="1" applyFont="1" applyAlignment="1">
      <alignment horizontal="center" vertical="center"/>
    </xf>
    <xf numFmtId="0" fontId="36" fillId="0" borderId="5" xfId="0" applyFont="1" applyBorder="1" applyAlignment="1">
      <alignment vertical="center"/>
    </xf>
    <xf numFmtId="179" fontId="36" fillId="0" borderId="5" xfId="0" applyNumberFormat="1" applyFont="1" applyBorder="1" applyAlignment="1">
      <alignment vertical="center"/>
    </xf>
    <xf numFmtId="177" fontId="43" fillId="6" borderId="4" xfId="0" applyNumberFormat="1" applyFont="1" applyFill="1" applyBorder="1" applyAlignment="1">
      <alignment vertical="center"/>
    </xf>
    <xf numFmtId="7" fontId="36" fillId="0" borderId="0" xfId="0" applyNumberFormat="1" applyFont="1" applyAlignment="1">
      <alignment vertical="center"/>
    </xf>
    <xf numFmtId="168" fontId="54" fillId="0" borderId="0" xfId="0" applyNumberFormat="1" applyFont="1" applyAlignment="1">
      <alignment vertical="center"/>
    </xf>
    <xf numFmtId="177" fontId="43" fillId="0" borderId="0" xfId="0" applyNumberFormat="1" applyFont="1" applyAlignment="1">
      <alignment vertical="center"/>
    </xf>
    <xf numFmtId="179" fontId="43" fillId="0" borderId="0" xfId="0" applyNumberFormat="1" applyFont="1" applyAlignment="1">
      <alignment vertical="center"/>
    </xf>
    <xf numFmtId="0" fontId="73" fillId="0" borderId="0" xfId="0" applyFont="1" applyAlignment="1">
      <alignment horizontal="centerContinuous" vertical="center"/>
    </xf>
    <xf numFmtId="175" fontId="59" fillId="0" borderId="0" xfId="0" applyNumberFormat="1" applyFont="1" applyAlignment="1">
      <alignment horizontal="center"/>
    </xf>
    <xf numFmtId="199" fontId="36" fillId="0" borderId="0" xfId="0" applyNumberFormat="1" applyFont="1" applyAlignment="1">
      <alignment vertical="center"/>
    </xf>
    <xf numFmtId="169" fontId="50" fillId="6" borderId="0" xfId="0" applyNumberFormat="1" applyFont="1" applyFill="1" applyAlignment="1">
      <alignment vertical="center"/>
    </xf>
    <xf numFmtId="0" fontId="74" fillId="0" borderId="0" xfId="0" applyFont="1" applyAlignment="1">
      <alignment horizontal="center" vertical="center"/>
    </xf>
    <xf numFmtId="0" fontId="57" fillId="0" borderId="0" xfId="0" applyFont="1" applyAlignment="1">
      <alignment vertical="center"/>
    </xf>
    <xf numFmtId="182" fontId="69" fillId="0" borderId="0" xfId="0" applyNumberFormat="1" applyFont="1" applyAlignment="1">
      <alignment horizontal="right" vertical="center"/>
    </xf>
    <xf numFmtId="182" fontId="49" fillId="6" borderId="0" xfId="0" applyNumberFormat="1" applyFont="1" applyFill="1" applyAlignment="1">
      <alignment vertical="center"/>
    </xf>
    <xf numFmtId="0" fontId="68" fillId="0" borderId="0" xfId="0" applyFont="1"/>
    <xf numFmtId="181" fontId="69" fillId="0" borderId="0" xfId="0" applyNumberFormat="1" applyFont="1" applyAlignment="1">
      <alignment horizontal="right" vertical="center"/>
    </xf>
    <xf numFmtId="179" fontId="57" fillId="0" borderId="0" xfId="0" applyNumberFormat="1" applyFont="1" applyAlignment="1">
      <alignment horizontal="right" vertical="center"/>
    </xf>
    <xf numFmtId="0" fontId="75" fillId="0" borderId="0" xfId="0" applyFont="1"/>
    <xf numFmtId="0" fontId="76" fillId="0" borderId="0" xfId="0" applyFont="1" applyAlignment="1">
      <alignment vertical="center"/>
    </xf>
    <xf numFmtId="0" fontId="41" fillId="0" borderId="0" xfId="0" applyFont="1" applyAlignment="1">
      <alignment vertical="center"/>
    </xf>
    <xf numFmtId="178" fontId="41" fillId="0" borderId="0" xfId="0" applyNumberFormat="1" applyFont="1" applyAlignment="1">
      <alignment vertical="center"/>
    </xf>
    <xf numFmtId="175" fontId="62" fillId="0" borderId="0" xfId="0" applyNumberFormat="1" applyFont="1" applyAlignment="1">
      <alignment horizontal="center" vertical="center"/>
    </xf>
    <xf numFmtId="189" fontId="62" fillId="0" borderId="21" xfId="0" applyNumberFormat="1" applyFont="1" applyBorder="1" applyAlignment="1">
      <alignment horizontal="center" vertical="center"/>
    </xf>
    <xf numFmtId="0" fontId="63" fillId="0" borderId="0" xfId="0" applyFont="1"/>
    <xf numFmtId="0" fontId="50" fillId="0" borderId="0" xfId="0" applyFont="1" applyAlignment="1">
      <alignment horizontal="center"/>
    </xf>
    <xf numFmtId="188" fontId="57" fillId="0" borderId="0" xfId="0" applyNumberFormat="1" applyFont="1" applyAlignment="1">
      <alignment vertical="center"/>
    </xf>
    <xf numFmtId="188" fontId="51" fillId="0" borderId="0" xfId="0" applyNumberFormat="1" applyFont="1" applyAlignment="1">
      <alignment vertical="center"/>
    </xf>
    <xf numFmtId="177" fontId="77" fillId="6" borderId="4" xfId="0" applyNumberFormat="1" applyFont="1" applyFill="1" applyBorder="1" applyAlignment="1">
      <alignment vertical="center"/>
    </xf>
    <xf numFmtId="177" fontId="78" fillId="0" borderId="3" xfId="0" applyNumberFormat="1" applyFont="1" applyBorder="1" applyAlignment="1">
      <alignment vertical="center"/>
    </xf>
    <xf numFmtId="0" fontId="79" fillId="0" borderId="25" xfId="0" applyFont="1" applyBorder="1" applyAlignment="1">
      <alignment vertical="center"/>
    </xf>
    <xf numFmtId="0" fontId="36" fillId="0" borderId="25" xfId="0" applyFont="1" applyBorder="1" applyAlignment="1">
      <alignment vertical="center"/>
    </xf>
    <xf numFmtId="188" fontId="36" fillId="0" borderId="25" xfId="0" applyNumberFormat="1" applyFont="1" applyBorder="1" applyAlignment="1">
      <alignment vertical="center"/>
    </xf>
    <xf numFmtId="0" fontId="36" fillId="6" borderId="0" xfId="0" applyFont="1" applyFill="1" applyAlignment="1">
      <alignment horizontal="left" vertical="center"/>
    </xf>
    <xf numFmtId="0" fontId="76" fillId="6" borderId="0" xfId="0" applyFont="1" applyFill="1" applyAlignment="1">
      <alignment vertical="center"/>
    </xf>
    <xf numFmtId="0" fontId="41" fillId="6" borderId="0" xfId="0" applyFont="1" applyFill="1" applyAlignment="1">
      <alignment vertical="center"/>
    </xf>
    <xf numFmtId="0" fontId="36" fillId="6" borderId="3" xfId="0" applyFont="1" applyFill="1" applyBorder="1" applyAlignment="1">
      <alignment vertical="center"/>
    </xf>
    <xf numFmtId="177" fontId="57" fillId="6" borderId="8" xfId="0" applyNumberFormat="1" applyFont="1" applyFill="1" applyBorder="1" applyAlignment="1">
      <alignment vertical="center"/>
    </xf>
    <xf numFmtId="177" fontId="36" fillId="6" borderId="3" xfId="0" applyNumberFormat="1" applyFont="1" applyFill="1" applyBorder="1" applyAlignment="1">
      <alignment vertical="center"/>
    </xf>
    <xf numFmtId="188" fontId="36" fillId="6" borderId="0" xfId="0" applyNumberFormat="1" applyFont="1" applyFill="1" applyAlignment="1">
      <alignment vertical="center"/>
    </xf>
    <xf numFmtId="177" fontId="57" fillId="6" borderId="0" xfId="0" applyNumberFormat="1" applyFont="1" applyFill="1" applyAlignment="1">
      <alignment vertical="center"/>
    </xf>
    <xf numFmtId="0" fontId="64" fillId="6" borderId="0" xfId="0" applyFont="1" applyFill="1" applyAlignment="1">
      <alignment vertical="center"/>
    </xf>
    <xf numFmtId="177" fontId="50" fillId="6" borderId="0" xfId="0" applyNumberFormat="1" applyFont="1" applyFill="1" applyAlignment="1">
      <alignment vertical="center"/>
    </xf>
    <xf numFmtId="177" fontId="50" fillId="6" borderId="8" xfId="0" applyNumberFormat="1" applyFont="1" applyFill="1" applyBorder="1" applyAlignment="1">
      <alignment vertical="center"/>
    </xf>
    <xf numFmtId="188" fontId="36" fillId="0" borderId="10" xfId="0" applyNumberFormat="1" applyFont="1" applyBorder="1" applyAlignment="1">
      <alignment vertical="center"/>
    </xf>
    <xf numFmtId="177" fontId="50" fillId="0" borderId="0" xfId="0" applyNumberFormat="1" applyFont="1" applyAlignment="1">
      <alignment vertical="center"/>
    </xf>
    <xf numFmtId="0" fontId="59" fillId="0" borderId="0" xfId="0" applyFont="1" applyAlignment="1">
      <alignment horizontal="center" vertical="center"/>
    </xf>
    <xf numFmtId="189" fontId="59" fillId="0" borderId="0" xfId="0" applyNumberFormat="1" applyFont="1" applyAlignment="1">
      <alignment horizontal="center" vertical="center"/>
    </xf>
    <xf numFmtId="1" fontId="59" fillId="0" borderId="0" xfId="0" applyNumberFormat="1" applyFont="1" applyAlignment="1">
      <alignment horizontal="center" vertical="center"/>
    </xf>
    <xf numFmtId="181" fontId="49" fillId="0" borderId="0" xfId="0" applyNumberFormat="1" applyFont="1" applyAlignment="1">
      <alignment horizontal="right" vertical="center"/>
    </xf>
    <xf numFmtId="181" fontId="72" fillId="0" borderId="0" xfId="0" applyNumberFormat="1" applyFont="1" applyAlignment="1">
      <alignment vertical="center"/>
    </xf>
    <xf numFmtId="0" fontId="80" fillId="0" borderId="0" xfId="0" applyFont="1" applyAlignment="1">
      <alignment horizontal="center" vertical="center"/>
    </xf>
    <xf numFmtId="171" fontId="46" fillId="0" borderId="0" xfId="0" applyNumberFormat="1" applyFont="1" applyAlignment="1">
      <alignment vertical="center"/>
    </xf>
    <xf numFmtId="177" fontId="57" fillId="0" borderId="0" xfId="0" applyNumberFormat="1" applyFont="1" applyAlignment="1">
      <alignment horizontal="right" vertical="center"/>
    </xf>
    <xf numFmtId="0" fontId="43" fillId="0" borderId="0" xfId="0" applyFont="1" applyAlignment="1">
      <alignment horizontal="left" vertical="center"/>
    </xf>
    <xf numFmtId="171" fontId="81" fillId="0" borderId="0" xfId="0" applyNumberFormat="1" applyFont="1" applyAlignment="1">
      <alignment vertical="center"/>
    </xf>
    <xf numFmtId="177" fontId="77" fillId="0" borderId="0" xfId="0" applyNumberFormat="1" applyFont="1" applyAlignment="1">
      <alignment horizontal="right" vertical="center"/>
    </xf>
    <xf numFmtId="179" fontId="77" fillId="0" borderId="0" xfId="0" applyNumberFormat="1" applyFont="1" applyAlignment="1">
      <alignment horizontal="right" vertical="center"/>
    </xf>
    <xf numFmtId="0" fontId="53" fillId="0" borderId="10" xfId="0" applyFont="1" applyBorder="1"/>
    <xf numFmtId="0" fontId="44" fillId="0" borderId="7" xfId="0" applyFont="1" applyBorder="1" applyAlignment="1">
      <alignment horizontal="centerContinuous" vertical="center"/>
    </xf>
    <xf numFmtId="0" fontId="59" fillId="0" borderId="21" xfId="0" applyFont="1" applyBorder="1" applyAlignment="1">
      <alignment horizontal="center" vertical="center"/>
    </xf>
    <xf numFmtId="0" fontId="54" fillId="0" borderId="0" xfId="0" applyFont="1" applyAlignment="1">
      <alignment horizontal="center"/>
    </xf>
    <xf numFmtId="177" fontId="50" fillId="0" borderId="8" xfId="0" applyNumberFormat="1" applyFont="1" applyBorder="1" applyAlignment="1">
      <alignment vertical="center"/>
    </xf>
    <xf numFmtId="190" fontId="59" fillId="0" borderId="0" xfId="0" applyNumberFormat="1" applyFont="1" applyAlignment="1">
      <alignment horizontal="center" vertical="center"/>
    </xf>
    <xf numFmtId="0" fontId="43" fillId="0" borderId="0" xfId="0" applyFont="1" applyAlignment="1">
      <alignment horizontal="center" vertical="center"/>
    </xf>
    <xf numFmtId="190" fontId="36" fillId="0" borderId="0" xfId="0" applyNumberFormat="1" applyFont="1" applyAlignment="1">
      <alignment horizontal="left" vertical="center"/>
    </xf>
    <xf numFmtId="168" fontId="45" fillId="0" borderId="0" xfId="0" applyNumberFormat="1" applyFont="1" applyAlignment="1">
      <alignment vertical="center"/>
    </xf>
    <xf numFmtId="169" fontId="45" fillId="0" borderId="0" xfId="0" applyNumberFormat="1" applyFont="1" applyAlignment="1">
      <alignment vertical="center"/>
    </xf>
    <xf numFmtId="179" fontId="36" fillId="6" borderId="0" xfId="0" applyNumberFormat="1" applyFont="1" applyFill="1" applyAlignment="1">
      <alignment horizontal="right" vertical="center"/>
    </xf>
    <xf numFmtId="179" fontId="50" fillId="0" borderId="0" xfId="0" applyNumberFormat="1" applyFont="1" applyAlignment="1">
      <alignment horizontal="right" vertical="center"/>
    </xf>
    <xf numFmtId="173" fontId="36" fillId="0" borderId="0" xfId="0" applyNumberFormat="1" applyFont="1" applyAlignment="1">
      <alignment vertical="center"/>
    </xf>
    <xf numFmtId="169" fontId="50" fillId="0" borderId="0" xfId="0" applyNumberFormat="1" applyFont="1" applyAlignment="1">
      <alignment vertical="center"/>
    </xf>
    <xf numFmtId="177" fontId="50" fillId="0" borderId="3" xfId="0" applyNumberFormat="1" applyFont="1" applyBorder="1" applyAlignment="1">
      <alignment vertical="center"/>
    </xf>
    <xf numFmtId="177" fontId="57" fillId="0" borderId="3" xfId="0" applyNumberFormat="1" applyFont="1" applyBorder="1" applyAlignment="1">
      <alignment vertical="center"/>
    </xf>
    <xf numFmtId="8" fontId="36" fillId="0" borderId="0" xfId="0" applyNumberFormat="1" applyFont="1" applyAlignment="1">
      <alignment vertical="center"/>
    </xf>
    <xf numFmtId="177" fontId="36" fillId="0" borderId="3" xfId="0" applyNumberFormat="1" applyFont="1" applyBorder="1" applyAlignment="1">
      <alignment horizontal="right" vertical="center"/>
    </xf>
    <xf numFmtId="0" fontId="82" fillId="4" borderId="0" xfId="0" applyFont="1" applyFill="1" applyAlignment="1">
      <alignment horizontal="centerContinuous" vertical="center"/>
    </xf>
    <xf numFmtId="0" fontId="67" fillId="4" borderId="0" xfId="0" applyFont="1" applyFill="1" applyAlignment="1">
      <alignment horizontal="centerContinuous" vertical="center"/>
    </xf>
    <xf numFmtId="197" fontId="67" fillId="4" borderId="0" xfId="0" applyNumberFormat="1" applyFont="1" applyFill="1" applyAlignment="1">
      <alignment horizontal="centerContinuous" vertical="center"/>
    </xf>
    <xf numFmtId="0" fontId="57" fillId="4" borderId="0" xfId="0" applyFont="1" applyFill="1" applyAlignment="1">
      <alignment horizontal="centerContinuous" vertical="center"/>
    </xf>
    <xf numFmtId="182" fontId="52" fillId="0" borderId="0" xfId="0" applyNumberFormat="1" applyFont="1" applyAlignment="1">
      <alignment horizontal="right" vertical="center"/>
    </xf>
    <xf numFmtId="169" fontId="36" fillId="0" borderId="0" xfId="0" applyNumberFormat="1" applyFont="1" applyAlignment="1">
      <alignment vertical="center"/>
    </xf>
    <xf numFmtId="179" fontId="51" fillId="0" borderId="3" xfId="0" applyNumberFormat="1" applyFont="1" applyBorder="1" applyAlignment="1">
      <alignment vertical="center"/>
    </xf>
    <xf numFmtId="179" fontId="77" fillId="0" borderId="3" xfId="0" applyNumberFormat="1" applyFont="1" applyBorder="1" applyAlignment="1">
      <alignment vertical="center"/>
    </xf>
    <xf numFmtId="178" fontId="43" fillId="0" borderId="6" xfId="0" applyNumberFormat="1" applyFont="1" applyBorder="1" applyAlignment="1">
      <alignment vertical="center"/>
    </xf>
    <xf numFmtId="177" fontId="67" fillId="0" borderId="6" xfId="0" applyNumberFormat="1" applyFont="1" applyBorder="1" applyAlignment="1">
      <alignment vertical="center"/>
    </xf>
    <xf numFmtId="177" fontId="43" fillId="0" borderId="6" xfId="0" applyNumberFormat="1" applyFont="1" applyBorder="1" applyAlignment="1">
      <alignment vertical="center"/>
    </xf>
    <xf numFmtId="177" fontId="36" fillId="0" borderId="0" xfId="0" applyNumberFormat="1" applyFont="1"/>
    <xf numFmtId="177" fontId="51" fillId="0" borderId="3" xfId="0" applyNumberFormat="1" applyFont="1" applyBorder="1" applyAlignment="1">
      <alignment horizontal="right" vertical="center"/>
    </xf>
    <xf numFmtId="177" fontId="57" fillId="0" borderId="3" xfId="0" applyNumberFormat="1" applyFont="1" applyBorder="1" applyAlignment="1">
      <alignment horizontal="right" vertical="center"/>
    </xf>
    <xf numFmtId="172" fontId="46" fillId="0" borderId="0" xfId="0" applyNumberFormat="1" applyFont="1" applyAlignment="1">
      <alignment horizontal="centerContinuous" vertical="center"/>
    </xf>
    <xf numFmtId="177" fontId="68" fillId="0" borderId="0" xfId="0" applyNumberFormat="1" applyFont="1" applyAlignment="1">
      <alignment vertical="center"/>
    </xf>
    <xf numFmtId="172" fontId="53" fillId="0" borderId="0" xfId="0" applyNumberFormat="1" applyFont="1" applyAlignment="1">
      <alignment horizontal="centerContinuous" vertical="center"/>
    </xf>
    <xf numFmtId="0" fontId="53" fillId="0" borderId="0" xfId="0" applyFont="1" applyAlignment="1">
      <alignment vertical="center"/>
    </xf>
    <xf numFmtId="182" fontId="53" fillId="0" borderId="0" xfId="0" applyNumberFormat="1" applyFont="1" applyAlignment="1">
      <alignment horizontal="right" vertical="center"/>
    </xf>
    <xf numFmtId="179" fontId="41" fillId="0" borderId="0" xfId="0" applyNumberFormat="1" applyFont="1" applyAlignment="1">
      <alignment vertical="center"/>
    </xf>
    <xf numFmtId="0" fontId="83" fillId="0" borderId="0" xfId="0" applyFont="1" applyAlignment="1">
      <alignment vertical="center"/>
    </xf>
    <xf numFmtId="184" fontId="51" fillId="0" borderId="0" xfId="0" applyNumberFormat="1" applyFont="1" applyAlignment="1">
      <alignment vertical="center"/>
    </xf>
    <xf numFmtId="0" fontId="60" fillId="0" borderId="0" xfId="3" applyNumberFormat="1" applyFont="1" applyFill="1" applyBorder="1" applyAlignment="1">
      <alignment horizontal="centerContinuous" vertical="center"/>
    </xf>
    <xf numFmtId="0" fontId="70" fillId="0" borderId="0" xfId="3" applyNumberFormat="1" applyFont="1" applyFill="1" applyBorder="1" applyAlignment="1">
      <alignment horizontal="center" vertical="center"/>
    </xf>
    <xf numFmtId="0" fontId="70" fillId="0" borderId="21" xfId="3" applyNumberFormat="1" applyFont="1" applyFill="1" applyBorder="1" applyAlignment="1">
      <alignment horizontal="center" vertical="center"/>
    </xf>
    <xf numFmtId="198" fontId="83" fillId="0" borderId="0" xfId="0" applyNumberFormat="1" applyFont="1" applyAlignment="1">
      <alignment horizontal="right" vertical="center"/>
    </xf>
    <xf numFmtId="0" fontId="51" fillId="0" borderId="0" xfId="0" applyFont="1" applyAlignment="1">
      <alignment vertical="center"/>
    </xf>
    <xf numFmtId="0" fontId="84" fillId="0" borderId="0" xfId="0" applyFont="1" applyAlignment="1">
      <alignment vertical="center"/>
    </xf>
    <xf numFmtId="183" fontId="51" fillId="0" borderId="0" xfId="0" applyNumberFormat="1" applyFont="1" applyAlignment="1">
      <alignment horizontal="right" vertical="center"/>
    </xf>
    <xf numFmtId="184" fontId="57" fillId="0" borderId="0" xfId="0" applyNumberFormat="1" applyFont="1" applyAlignment="1">
      <alignment vertical="center"/>
    </xf>
    <xf numFmtId="196" fontId="51" fillId="0" borderId="0" xfId="0" applyNumberFormat="1" applyFont="1" applyAlignment="1">
      <alignment horizontal="right" vertical="center"/>
    </xf>
    <xf numFmtId="183" fontId="57" fillId="0" borderId="0" xfId="0" applyNumberFormat="1" applyFont="1" applyAlignment="1">
      <alignment vertical="center"/>
    </xf>
    <xf numFmtId="183" fontId="36" fillId="6" borderId="0" xfId="0" applyNumberFormat="1" applyFont="1" applyFill="1" applyAlignment="1">
      <alignment vertical="center"/>
    </xf>
    <xf numFmtId="0" fontId="85" fillId="0" borderId="6" xfId="0" applyFont="1" applyBorder="1" applyAlignment="1">
      <alignment vertical="center"/>
    </xf>
    <xf numFmtId="183" fontId="43" fillId="0" borderId="6" xfId="0" applyNumberFormat="1" applyFont="1" applyBorder="1" applyAlignment="1">
      <alignment vertical="center"/>
    </xf>
    <xf numFmtId="183" fontId="43" fillId="6" borderId="6" xfId="0" applyNumberFormat="1" applyFont="1" applyFill="1" applyBorder="1" applyAlignment="1">
      <alignment vertical="center"/>
    </xf>
    <xf numFmtId="0" fontId="58" fillId="0" borderId="0" xfId="0" applyFont="1" applyAlignment="1">
      <alignment vertical="center"/>
    </xf>
    <xf numFmtId="0" fontId="54" fillId="0" borderId="0" xfId="0" applyFont="1" applyAlignment="1">
      <alignment horizontal="center" vertical="center"/>
    </xf>
    <xf numFmtId="165" fontId="53" fillId="0" borderId="3" xfId="0" applyNumberFormat="1" applyFont="1" applyBorder="1" applyAlignment="1">
      <alignment vertical="center"/>
    </xf>
    <xf numFmtId="182" fontId="52" fillId="0" borderId="3" xfId="0" applyNumberFormat="1" applyFont="1" applyBorder="1" applyAlignment="1">
      <alignment vertical="center"/>
    </xf>
    <xf numFmtId="165" fontId="45" fillId="0" borderId="0" xfId="0" applyNumberFormat="1" applyFont="1" applyAlignment="1">
      <alignment vertical="center"/>
    </xf>
    <xf numFmtId="0" fontId="44" fillId="0" borderId="21" xfId="0" applyFont="1" applyBorder="1" applyAlignment="1">
      <alignment horizontal="centerContinuous" vertical="center"/>
    </xf>
    <xf numFmtId="0" fontId="54" fillId="0" borderId="0" xfId="0" applyFont="1" applyAlignment="1">
      <alignment horizontal="centerContinuous" vertical="center"/>
    </xf>
    <xf numFmtId="0" fontId="54" fillId="6" borderId="0" xfId="0" applyFont="1" applyFill="1" applyAlignment="1">
      <alignment horizontal="center" vertical="center"/>
    </xf>
    <xf numFmtId="178" fontId="50" fillId="0" borderId="0" xfId="0" applyNumberFormat="1" applyFont="1" applyAlignment="1">
      <alignment horizontal="right" vertical="center"/>
    </xf>
    <xf numFmtId="178" fontId="57" fillId="2" borderId="0" xfId="0" applyNumberFormat="1" applyFont="1" applyFill="1" applyAlignment="1">
      <alignment horizontal="right" vertical="center"/>
    </xf>
    <xf numFmtId="0" fontId="53" fillId="0" borderId="0" xfId="0" applyFont="1" applyAlignment="1">
      <alignment vertical="center" wrapText="1"/>
    </xf>
    <xf numFmtId="177" fontId="36" fillId="6" borderId="0" xfId="0" applyNumberFormat="1" applyFont="1" applyFill="1" applyAlignment="1">
      <alignment horizontal="right" vertical="center"/>
    </xf>
    <xf numFmtId="186" fontId="51" fillId="6" borderId="0" xfId="0" applyNumberFormat="1" applyFont="1" applyFill="1" applyAlignment="1">
      <alignment horizontal="right" vertical="center"/>
    </xf>
    <xf numFmtId="183" fontId="69" fillId="0" borderId="0" xfId="0" applyNumberFormat="1" applyFont="1" applyAlignment="1">
      <alignment vertical="center"/>
    </xf>
    <xf numFmtId="183" fontId="69" fillId="6" borderId="0" xfId="0" applyNumberFormat="1" applyFont="1" applyFill="1" applyAlignment="1">
      <alignment vertical="center"/>
    </xf>
    <xf numFmtId="0" fontId="67" fillId="0" borderId="0" xfId="0" applyFont="1" applyAlignment="1">
      <alignment horizontal="center" vertical="center"/>
    </xf>
    <xf numFmtId="0" fontId="69" fillId="0" borderId="0" xfId="0" applyFont="1" applyAlignment="1">
      <alignment vertical="center"/>
    </xf>
    <xf numFmtId="179" fontId="48" fillId="3" borderId="0" xfId="0" applyNumberFormat="1" applyFont="1" applyFill="1" applyAlignment="1">
      <alignment horizontal="right" vertical="center"/>
    </xf>
    <xf numFmtId="179" fontId="51" fillId="0" borderId="3" xfId="0" applyNumberFormat="1" applyFont="1" applyBorder="1" applyAlignment="1">
      <alignment horizontal="right" vertical="center"/>
    </xf>
    <xf numFmtId="179" fontId="51" fillId="6" borderId="3" xfId="0" applyNumberFormat="1" applyFont="1" applyFill="1" applyBorder="1" applyAlignment="1">
      <alignment horizontal="right" vertical="center"/>
    </xf>
    <xf numFmtId="179" fontId="51" fillId="6" borderId="25" xfId="0" applyNumberFormat="1" applyFont="1" applyFill="1" applyBorder="1" applyAlignment="1">
      <alignment horizontal="right" vertical="center"/>
    </xf>
    <xf numFmtId="177" fontId="77" fillId="0" borderId="4" xfId="0" applyNumberFormat="1" applyFont="1" applyBorder="1" applyAlignment="1">
      <alignment horizontal="right" vertical="center"/>
    </xf>
    <xf numFmtId="177" fontId="77" fillId="6" borderId="4" xfId="0" applyNumberFormat="1" applyFont="1" applyFill="1" applyBorder="1" applyAlignment="1">
      <alignment horizontal="right" vertical="center"/>
    </xf>
    <xf numFmtId="7" fontId="41" fillId="0" borderId="0" xfId="0" applyNumberFormat="1" applyFont="1" applyAlignment="1">
      <alignment vertical="center"/>
    </xf>
    <xf numFmtId="7" fontId="41" fillId="6" borderId="0" xfId="0" applyNumberFormat="1" applyFont="1" applyFill="1" applyAlignment="1">
      <alignment vertical="center"/>
    </xf>
    <xf numFmtId="191" fontId="57" fillId="0" borderId="0" xfId="0" applyNumberFormat="1" applyFont="1" applyAlignment="1">
      <alignment vertical="center"/>
    </xf>
    <xf numFmtId="179" fontId="51" fillId="0" borderId="5" xfId="0" applyNumberFormat="1" applyFont="1" applyBorder="1" applyAlignment="1">
      <alignment horizontal="right" vertical="center"/>
    </xf>
    <xf numFmtId="179" fontId="36" fillId="6" borderId="5" xfId="0" applyNumberFormat="1" applyFont="1" applyFill="1" applyBorder="1" applyAlignment="1">
      <alignment horizontal="right" vertical="center"/>
    </xf>
    <xf numFmtId="0" fontId="41" fillId="0" borderId="0" xfId="0" applyFont="1" applyAlignment="1">
      <alignment horizontal="right" vertical="center"/>
    </xf>
    <xf numFmtId="183" fontId="69" fillId="0" borderId="0" xfId="0" applyNumberFormat="1" applyFont="1" applyAlignment="1">
      <alignment horizontal="right" vertical="center"/>
    </xf>
    <xf numFmtId="183" fontId="69" fillId="6" borderId="0" xfId="0" applyNumberFormat="1" applyFont="1" applyFill="1" applyAlignment="1">
      <alignment horizontal="right" vertical="center"/>
    </xf>
    <xf numFmtId="0" fontId="41" fillId="6" borderId="0" xfId="0" applyFont="1" applyFill="1" applyAlignment="1">
      <alignment horizontal="right" vertical="center"/>
    </xf>
    <xf numFmtId="0" fontId="43" fillId="5" borderId="23" xfId="0" applyFont="1" applyFill="1" applyBorder="1" applyAlignment="1">
      <alignment horizontal="right" vertical="center" indent="1"/>
    </xf>
    <xf numFmtId="0" fontId="43" fillId="5" borderId="24" xfId="0" applyFont="1" applyFill="1" applyBorder="1" applyAlignment="1">
      <alignment horizontal="right" vertical="center" indent="1"/>
    </xf>
    <xf numFmtId="0" fontId="36" fillId="6" borderId="0" xfId="0" applyFont="1" applyFill="1" applyAlignment="1">
      <alignment horizontal="right" vertical="center"/>
    </xf>
    <xf numFmtId="0" fontId="75" fillId="0" borderId="0" xfId="0" applyFont="1" applyAlignment="1">
      <alignment vertical="center"/>
    </xf>
    <xf numFmtId="0" fontId="44" fillId="0" borderId="0" xfId="0" applyFont="1" applyAlignment="1">
      <alignment vertical="center"/>
    </xf>
    <xf numFmtId="0" fontId="51" fillId="0" borderId="0" xfId="0" applyFont="1" applyAlignment="1">
      <alignment horizontal="left" vertical="center"/>
    </xf>
    <xf numFmtId="0" fontId="44" fillId="0" borderId="0" xfId="3" applyNumberFormat="1" applyFont="1" applyFill="1" applyBorder="1" applyAlignment="1">
      <alignment horizontal="centerContinuous"/>
    </xf>
    <xf numFmtId="0" fontId="60" fillId="0" borderId="0" xfId="3" applyNumberFormat="1" applyFont="1" applyFill="1" applyBorder="1" applyAlignment="1">
      <alignment horizontal="centerContinuous"/>
    </xf>
    <xf numFmtId="183" fontId="36" fillId="0" borderId="0" xfId="0" applyNumberFormat="1" applyFont="1" applyAlignment="1">
      <alignment horizontal="right" vertical="center"/>
    </xf>
    <xf numFmtId="189" fontId="44" fillId="0" borderId="21" xfId="3" applyNumberFormat="1" applyFont="1" applyFill="1" applyBorder="1" applyAlignment="1">
      <alignment horizontal="center" vertical="center"/>
    </xf>
    <xf numFmtId="179" fontId="57" fillId="6" borderId="0" xfId="0" applyNumberFormat="1" applyFont="1" applyFill="1" applyAlignment="1">
      <alignment vertical="center"/>
    </xf>
    <xf numFmtId="8" fontId="50" fillId="0" borderId="0" xfId="0" applyNumberFormat="1" applyFont="1" applyAlignment="1">
      <alignment vertical="center"/>
    </xf>
    <xf numFmtId="168" fontId="50" fillId="0" borderId="0" xfId="0" applyNumberFormat="1" applyFont="1" applyAlignment="1">
      <alignment vertical="center"/>
    </xf>
    <xf numFmtId="168" fontId="36" fillId="0" borderId="3" xfId="0" applyNumberFormat="1" applyFont="1" applyBorder="1" applyAlignment="1">
      <alignment vertical="center"/>
    </xf>
    <xf numFmtId="168" fontId="50" fillId="0" borderId="3" xfId="0" applyNumberFormat="1" applyFont="1" applyBorder="1" applyAlignment="1">
      <alignment vertical="center"/>
    </xf>
    <xf numFmtId="165" fontId="49" fillId="0" borderId="3" xfId="0" applyNumberFormat="1" applyFont="1" applyBorder="1" applyAlignment="1">
      <alignment vertical="center"/>
    </xf>
    <xf numFmtId="168" fontId="43" fillId="6" borderId="4" xfId="0" applyNumberFormat="1" applyFont="1" applyFill="1" applyBorder="1" applyAlignment="1">
      <alignment vertical="center"/>
    </xf>
    <xf numFmtId="168" fontId="54" fillId="6" borderId="4" xfId="0" applyNumberFormat="1" applyFont="1" applyFill="1" applyBorder="1" applyAlignment="1">
      <alignment vertical="center"/>
    </xf>
    <xf numFmtId="177" fontId="43" fillId="6" borderId="6" xfId="0" applyNumberFormat="1" applyFont="1" applyFill="1" applyBorder="1" applyAlignment="1">
      <alignment vertical="center"/>
    </xf>
    <xf numFmtId="177" fontId="54" fillId="6" borderId="0" xfId="0" applyNumberFormat="1" applyFont="1" applyFill="1" applyAlignment="1">
      <alignment horizontal="right" vertical="center"/>
    </xf>
    <xf numFmtId="7" fontId="43" fillId="0" borderId="0" xfId="0" applyNumberFormat="1" applyFont="1" applyAlignment="1">
      <alignment vertical="center"/>
    </xf>
    <xf numFmtId="179" fontId="69" fillId="0" borderId="0" xfId="0" applyNumberFormat="1" applyFont="1" applyAlignment="1">
      <alignment vertical="center"/>
    </xf>
    <xf numFmtId="7" fontId="69" fillId="0" borderId="0" xfId="0" applyNumberFormat="1" applyFont="1" applyAlignment="1">
      <alignment vertical="center"/>
    </xf>
    <xf numFmtId="0" fontId="52" fillId="0" borderId="0" xfId="0" applyFont="1" applyAlignment="1">
      <alignment vertical="center"/>
    </xf>
    <xf numFmtId="179" fontId="52" fillId="0" borderId="0" xfId="0" applyNumberFormat="1" applyFont="1" applyAlignment="1">
      <alignment vertical="center"/>
    </xf>
    <xf numFmtId="7" fontId="52" fillId="0" borderId="0" xfId="0" applyNumberFormat="1" applyFont="1" applyAlignment="1">
      <alignment vertical="center"/>
    </xf>
    <xf numFmtId="0" fontId="36" fillId="0" borderId="2" xfId="0" applyFont="1" applyBorder="1" applyAlignment="1">
      <alignment horizontal="centerContinuous" vertical="center"/>
    </xf>
    <xf numFmtId="193" fontId="50" fillId="0" borderId="0" xfId="0" applyNumberFormat="1" applyFont="1" applyAlignment="1">
      <alignment horizontal="right" vertical="center"/>
    </xf>
    <xf numFmtId="177" fontId="50" fillId="6" borderId="11" xfId="0" applyNumberFormat="1" applyFont="1" applyFill="1" applyBorder="1" applyAlignment="1">
      <alignment horizontal="right" vertical="center"/>
    </xf>
    <xf numFmtId="177" fontId="50" fillId="6" borderId="3" xfId="0" applyNumberFormat="1" applyFont="1" applyFill="1" applyBorder="1" applyAlignment="1">
      <alignment horizontal="right" vertical="center"/>
    </xf>
    <xf numFmtId="177" fontId="50" fillId="6" borderId="12" xfId="0" applyNumberFormat="1" applyFont="1" applyFill="1" applyBorder="1" applyAlignment="1">
      <alignment horizontal="right" vertical="center"/>
    </xf>
    <xf numFmtId="177" fontId="50" fillId="6" borderId="13" xfId="0" applyNumberFormat="1" applyFont="1" applyFill="1" applyBorder="1" applyAlignment="1">
      <alignment horizontal="right" vertical="center"/>
    </xf>
    <xf numFmtId="177" fontId="50" fillId="6" borderId="0" xfId="0" applyNumberFormat="1" applyFont="1" applyFill="1" applyAlignment="1">
      <alignment horizontal="right" vertical="center"/>
    </xf>
    <xf numFmtId="177" fontId="50" fillId="6" borderId="14" xfId="0" applyNumberFormat="1" applyFont="1" applyFill="1" applyBorder="1" applyAlignment="1">
      <alignment horizontal="right" vertical="center"/>
    </xf>
    <xf numFmtId="177" fontId="50" fillId="6" borderId="15" xfId="0" applyNumberFormat="1" applyFont="1" applyFill="1" applyBorder="1" applyAlignment="1">
      <alignment horizontal="right" vertical="center"/>
    </xf>
    <xf numFmtId="177" fontId="50" fillId="6" borderId="16" xfId="0" applyNumberFormat="1" applyFont="1" applyFill="1" applyBorder="1" applyAlignment="1">
      <alignment horizontal="right" vertical="center"/>
    </xf>
    <xf numFmtId="177" fontId="50" fillId="6" borderId="17" xfId="0" applyNumberFormat="1" applyFont="1" applyFill="1" applyBorder="1" applyAlignment="1">
      <alignment horizontal="right" vertical="center"/>
    </xf>
    <xf numFmtId="0" fontId="36" fillId="0" borderId="2" xfId="0" applyFont="1" applyBorder="1" applyAlignment="1">
      <alignment horizontal="centerContinuous"/>
    </xf>
    <xf numFmtId="193" fontId="51" fillId="0" borderId="0" xfId="0" applyNumberFormat="1" applyFont="1" applyAlignment="1">
      <alignment horizontal="right" vertical="center"/>
    </xf>
    <xf numFmtId="182" fontId="49" fillId="6" borderId="11" xfId="0" applyNumberFormat="1" applyFont="1" applyFill="1" applyBorder="1" applyAlignment="1">
      <alignment vertical="center"/>
    </xf>
    <xf numFmtId="182" fontId="49" fillId="6" borderId="3" xfId="0" applyNumberFormat="1" applyFont="1" applyFill="1" applyBorder="1" applyAlignment="1">
      <alignment vertical="center"/>
    </xf>
    <xf numFmtId="182" fontId="49" fillId="6" borderId="12" xfId="0" applyNumberFormat="1" applyFont="1" applyFill="1" applyBorder="1" applyAlignment="1">
      <alignment vertical="center"/>
    </xf>
    <xf numFmtId="184" fontId="50" fillId="6" borderId="11" xfId="0" applyNumberFormat="1" applyFont="1" applyFill="1" applyBorder="1" applyAlignment="1">
      <alignment vertical="center"/>
    </xf>
    <xf numFmtId="184" fontId="50" fillId="6" borderId="3" xfId="0" applyNumberFormat="1" applyFont="1" applyFill="1" applyBorder="1" applyAlignment="1">
      <alignment vertical="center"/>
    </xf>
    <xf numFmtId="184" fontId="50" fillId="6" borderId="12" xfId="0" applyNumberFormat="1" applyFont="1" applyFill="1" applyBorder="1" applyAlignment="1">
      <alignment vertical="center"/>
    </xf>
    <xf numFmtId="182" fontId="49" fillId="6" borderId="13" xfId="0" applyNumberFormat="1" applyFont="1" applyFill="1" applyBorder="1" applyAlignment="1">
      <alignment vertical="center"/>
    </xf>
    <xf numFmtId="182" fontId="49" fillId="6" borderId="14" xfId="0" applyNumberFormat="1" applyFont="1" applyFill="1" applyBorder="1" applyAlignment="1">
      <alignment vertical="center"/>
    </xf>
    <xf numFmtId="184" fontId="50" fillId="6" borderId="13" xfId="0" applyNumberFormat="1" applyFont="1" applyFill="1" applyBorder="1" applyAlignment="1">
      <alignment vertical="center"/>
    </xf>
    <xf numFmtId="184" fontId="50" fillId="6" borderId="0" xfId="0" applyNumberFormat="1" applyFont="1" applyFill="1" applyAlignment="1">
      <alignment vertical="center"/>
    </xf>
    <xf numFmtId="184" fontId="50" fillId="6" borderId="14" xfId="0" applyNumberFormat="1" applyFont="1" applyFill="1" applyBorder="1" applyAlignment="1">
      <alignment vertical="center"/>
    </xf>
    <xf numFmtId="182" fontId="49" fillId="6" borderId="15" xfId="0" applyNumberFormat="1" applyFont="1" applyFill="1" applyBorder="1" applyAlignment="1">
      <alignment vertical="center"/>
    </xf>
    <xf numFmtId="182" fontId="49" fillId="6" borderId="16" xfId="0" applyNumberFormat="1" applyFont="1" applyFill="1" applyBorder="1" applyAlignment="1">
      <alignment vertical="center"/>
    </xf>
    <xf numFmtId="182" fontId="49" fillId="6" borderId="17" xfId="0" applyNumberFormat="1" applyFont="1" applyFill="1" applyBorder="1" applyAlignment="1">
      <alignment vertical="center"/>
    </xf>
    <xf numFmtId="184" fontId="50" fillId="6" borderId="15" xfId="0" applyNumberFormat="1" applyFont="1" applyFill="1" applyBorder="1" applyAlignment="1">
      <alignment vertical="center"/>
    </xf>
    <xf numFmtId="184" fontId="50" fillId="6" borderId="16" xfId="0" applyNumberFormat="1" applyFont="1" applyFill="1" applyBorder="1" applyAlignment="1">
      <alignment vertical="center"/>
    </xf>
    <xf numFmtId="184" fontId="50" fillId="6" borderId="17" xfId="0" applyNumberFormat="1" applyFont="1" applyFill="1" applyBorder="1" applyAlignment="1">
      <alignment vertical="center"/>
    </xf>
    <xf numFmtId="192" fontId="50" fillId="6" borderId="11" xfId="0" applyNumberFormat="1" applyFont="1" applyFill="1" applyBorder="1" applyAlignment="1">
      <alignment vertical="center"/>
    </xf>
    <xf numFmtId="192" fontId="50" fillId="6" borderId="3" xfId="0" applyNumberFormat="1" applyFont="1" applyFill="1" applyBorder="1" applyAlignment="1">
      <alignment vertical="center"/>
    </xf>
    <xf numFmtId="192" fontId="50" fillId="6" borderId="12" xfId="0" applyNumberFormat="1" applyFont="1" applyFill="1" applyBorder="1" applyAlignment="1">
      <alignment vertical="center"/>
    </xf>
    <xf numFmtId="192" fontId="50" fillId="6" borderId="13" xfId="0" applyNumberFormat="1" applyFont="1" applyFill="1" applyBorder="1" applyAlignment="1">
      <alignment vertical="center"/>
    </xf>
    <xf numFmtId="192" fontId="50" fillId="6" borderId="0" xfId="0" applyNumberFormat="1" applyFont="1" applyFill="1" applyAlignment="1">
      <alignment vertical="center"/>
    </xf>
    <xf numFmtId="192" fontId="50" fillId="6" borderId="14" xfId="0" applyNumberFormat="1" applyFont="1" applyFill="1" applyBorder="1" applyAlignment="1">
      <alignment vertical="center"/>
    </xf>
    <xf numFmtId="192" fontId="50" fillId="6" borderId="15" xfId="0" applyNumberFormat="1" applyFont="1" applyFill="1" applyBorder="1" applyAlignment="1">
      <alignment vertical="center"/>
    </xf>
    <xf numFmtId="192" fontId="50" fillId="6" borderId="16" xfId="0" applyNumberFormat="1" applyFont="1" applyFill="1" applyBorder="1" applyAlignment="1">
      <alignment vertical="center"/>
    </xf>
    <xf numFmtId="192" fontId="50" fillId="6" borderId="17" xfId="0" applyNumberFormat="1" applyFont="1" applyFill="1" applyBorder="1" applyAlignment="1">
      <alignment vertical="center"/>
    </xf>
    <xf numFmtId="0" fontId="43" fillId="0" borderId="0" xfId="0" applyFont="1" applyAlignment="1">
      <alignment horizontal="centerContinuous" vertical="center"/>
    </xf>
    <xf numFmtId="0" fontId="36" fillId="0" borderId="0" xfId="0" applyFont="1" applyAlignment="1">
      <alignment horizontal="centerContinuous" vertical="center"/>
    </xf>
    <xf numFmtId="0" fontId="53" fillId="0" borderId="3" xfId="0" applyFont="1" applyBorder="1" applyAlignment="1">
      <alignment vertical="center"/>
    </xf>
    <xf numFmtId="181" fontId="53" fillId="0" borderId="3" xfId="0" applyNumberFormat="1" applyFont="1" applyBorder="1" applyAlignment="1">
      <alignment horizontal="right" vertical="center"/>
    </xf>
    <xf numFmtId="181" fontId="53" fillId="0" borderId="0" xfId="0" applyNumberFormat="1" applyFont="1" applyAlignment="1">
      <alignment horizontal="right" vertical="center"/>
    </xf>
    <xf numFmtId="0" fontId="36" fillId="6" borderId="6" xfId="0" applyFont="1" applyFill="1" applyBorder="1" applyAlignment="1">
      <alignment vertical="center"/>
    </xf>
    <xf numFmtId="181" fontId="55" fillId="6" borderId="6" xfId="0" applyNumberFormat="1" applyFont="1" applyFill="1" applyBorder="1" applyAlignment="1">
      <alignment vertical="center"/>
    </xf>
    <xf numFmtId="165" fontId="55" fillId="0" borderId="0" xfId="0" applyNumberFormat="1" applyFont="1" applyAlignment="1">
      <alignment horizontal="center" vertical="center"/>
    </xf>
    <xf numFmtId="177" fontId="51" fillId="6" borderId="0" xfId="0" applyNumberFormat="1" applyFont="1" applyFill="1" applyAlignment="1">
      <alignment horizontal="right" vertical="center"/>
    </xf>
    <xf numFmtId="181" fontId="53" fillId="6" borderId="0" xfId="0" applyNumberFormat="1" applyFont="1" applyFill="1" applyAlignment="1">
      <alignment horizontal="right" vertical="center"/>
    </xf>
    <xf numFmtId="177" fontId="36" fillId="0" borderId="10" xfId="0" applyNumberFormat="1" applyFont="1" applyBorder="1" applyAlignment="1">
      <alignment vertical="center"/>
    </xf>
    <xf numFmtId="182" fontId="53" fillId="0" borderId="10" xfId="0" applyNumberFormat="1" applyFont="1" applyBorder="1" applyAlignment="1">
      <alignment horizontal="right" vertical="center"/>
    </xf>
    <xf numFmtId="0" fontId="43" fillId="0" borderId="0" xfId="0" applyFont="1" applyAlignment="1">
      <alignment horizontal="center"/>
    </xf>
    <xf numFmtId="165" fontId="55" fillId="0" borderId="0" xfId="0" applyNumberFormat="1" applyFont="1" applyAlignment="1">
      <alignment horizontal="center"/>
    </xf>
    <xf numFmtId="14" fontId="54" fillId="0" borderId="0" xfId="0" applyNumberFormat="1" applyFont="1" applyAlignment="1">
      <alignment horizontal="center"/>
    </xf>
    <xf numFmtId="1" fontId="54" fillId="0" borderId="0" xfId="0" applyNumberFormat="1" applyFont="1" applyAlignment="1">
      <alignment horizontal="center"/>
    </xf>
    <xf numFmtId="14" fontId="54" fillId="0" borderId="0" xfId="0" applyNumberFormat="1" applyFont="1" applyAlignment="1">
      <alignment horizontal="center" vertical="center"/>
    </xf>
    <xf numFmtId="1" fontId="50" fillId="0" borderId="0" xfId="0" applyNumberFormat="1" applyFont="1" applyAlignment="1">
      <alignment horizontal="center" vertical="center"/>
    </xf>
    <xf numFmtId="1" fontId="54" fillId="0" borderId="0" xfId="0" applyNumberFormat="1" applyFont="1" applyAlignment="1">
      <alignment horizontal="center" vertical="center"/>
    </xf>
    <xf numFmtId="165" fontId="56" fillId="0" borderId="0" xfId="0" applyNumberFormat="1" applyFont="1" applyAlignment="1">
      <alignment horizontal="center" vertical="center"/>
    </xf>
    <xf numFmtId="193" fontId="36" fillId="0" borderId="0" xfId="0" applyNumberFormat="1" applyFont="1" applyAlignment="1">
      <alignment horizontal="right" vertical="center"/>
    </xf>
    <xf numFmtId="0" fontId="43" fillId="0" borderId="3" xfId="0" applyFont="1" applyBorder="1" applyAlignment="1">
      <alignment horizontal="center" vertical="center"/>
    </xf>
    <xf numFmtId="165" fontId="55" fillId="0" borderId="3" xfId="0" applyNumberFormat="1" applyFont="1" applyBorder="1" applyAlignment="1">
      <alignment horizontal="center" vertical="center"/>
    </xf>
    <xf numFmtId="165" fontId="56" fillId="0" borderId="3" xfId="0" applyNumberFormat="1" applyFont="1" applyBorder="1" applyAlignment="1">
      <alignment horizontal="center" vertical="center"/>
    </xf>
    <xf numFmtId="0" fontId="43" fillId="0" borderId="4" xfId="0" applyFont="1" applyBorder="1" applyAlignment="1">
      <alignment horizontal="center" vertical="center"/>
    </xf>
    <xf numFmtId="165" fontId="55" fillId="0" borderId="4" xfId="0" applyNumberFormat="1" applyFont="1" applyBorder="1" applyAlignment="1">
      <alignment horizontal="center" vertical="center"/>
    </xf>
    <xf numFmtId="165" fontId="56" fillId="0" borderId="4" xfId="0" applyNumberFormat="1" applyFont="1" applyBorder="1" applyAlignment="1">
      <alignment horizontal="center" vertical="center"/>
    </xf>
    <xf numFmtId="177" fontId="43" fillId="0" borderId="4" xfId="0" applyNumberFormat="1" applyFont="1" applyBorder="1" applyAlignment="1">
      <alignment vertical="center"/>
    </xf>
    <xf numFmtId="174" fontId="36" fillId="0" borderId="25" xfId="0" applyNumberFormat="1" applyFont="1" applyBorder="1" applyAlignment="1">
      <alignment vertical="center"/>
    </xf>
    <xf numFmtId="174" fontId="36" fillId="6" borderId="0" xfId="0" applyNumberFormat="1" applyFont="1" applyFill="1" applyAlignment="1">
      <alignment vertical="center"/>
    </xf>
    <xf numFmtId="0" fontId="65" fillId="6" borderId="0" xfId="0" applyFont="1" applyFill="1" applyAlignment="1">
      <alignment vertical="center"/>
    </xf>
    <xf numFmtId="0" fontId="43" fillId="6" borderId="3" xfId="0" applyFont="1" applyFill="1" applyBorder="1" applyAlignment="1">
      <alignment horizontal="center" vertical="center"/>
    </xf>
    <xf numFmtId="165" fontId="55" fillId="6" borderId="3" xfId="0" applyNumberFormat="1" applyFont="1" applyFill="1" applyBorder="1" applyAlignment="1">
      <alignment horizontal="center" vertical="center"/>
    </xf>
    <xf numFmtId="0" fontId="43" fillId="6" borderId="0" xfId="0" applyFont="1" applyFill="1" applyAlignment="1">
      <alignment horizontal="center" vertical="center"/>
    </xf>
    <xf numFmtId="165" fontId="55" fillId="6" borderId="0" xfId="0" applyNumberFormat="1" applyFont="1" applyFill="1" applyAlignment="1">
      <alignment horizontal="center" vertical="center"/>
    </xf>
    <xf numFmtId="0" fontId="43" fillId="6" borderId="26" xfId="0" applyFont="1" applyFill="1" applyBorder="1" applyAlignment="1">
      <alignment vertical="center"/>
    </xf>
    <xf numFmtId="182" fontId="43" fillId="6" borderId="27" xfId="0" applyNumberFormat="1" applyFont="1" applyFill="1" applyBorder="1" applyAlignment="1">
      <alignment horizontal="right" vertical="center"/>
    </xf>
    <xf numFmtId="9" fontId="43" fillId="6" borderId="0" xfId="0" applyNumberFormat="1" applyFont="1" applyFill="1" applyAlignment="1">
      <alignment vertical="center"/>
    </xf>
    <xf numFmtId="165" fontId="53" fillId="6" borderId="0" xfId="0" applyNumberFormat="1" applyFont="1" applyFill="1" applyAlignment="1">
      <alignment horizontal="right" vertical="center"/>
    </xf>
    <xf numFmtId="0" fontId="43" fillId="6" borderId="28" xfId="0" applyFont="1" applyFill="1" applyBorder="1" applyAlignment="1">
      <alignment vertical="center"/>
    </xf>
    <xf numFmtId="187" fontId="43" fillId="6" borderId="29" xfId="0" applyNumberFormat="1" applyFont="1" applyFill="1" applyBorder="1" applyAlignment="1">
      <alignment horizontal="right" vertical="center"/>
    </xf>
    <xf numFmtId="0" fontId="63" fillId="0" borderId="10" xfId="0" applyFont="1" applyBorder="1" applyAlignment="1">
      <alignment vertical="center"/>
    </xf>
    <xf numFmtId="8" fontId="50" fillId="0" borderId="10" xfId="0" applyNumberFormat="1" applyFont="1" applyBorder="1" applyAlignment="1">
      <alignment vertical="center"/>
    </xf>
    <xf numFmtId="182" fontId="56" fillId="6" borderId="27" xfId="0" applyNumberFormat="1" applyFont="1" applyFill="1" applyBorder="1" applyAlignment="1">
      <alignment horizontal="right" vertical="center"/>
    </xf>
    <xf numFmtId="165" fontId="86" fillId="6" borderId="0" xfId="0" applyNumberFormat="1" applyFont="1" applyFill="1" applyAlignment="1">
      <alignment vertical="center"/>
    </xf>
    <xf numFmtId="9" fontId="36" fillId="6" borderId="0" xfId="0" applyNumberFormat="1" applyFont="1" applyFill="1" applyAlignment="1">
      <alignment vertical="center"/>
    </xf>
    <xf numFmtId="175" fontId="36" fillId="0" borderId="0" xfId="0" applyNumberFormat="1" applyFont="1" applyAlignment="1">
      <alignment horizontal="left" vertical="center"/>
    </xf>
    <xf numFmtId="175" fontId="36" fillId="6" borderId="0" xfId="0" applyNumberFormat="1" applyFont="1" applyFill="1" applyAlignment="1">
      <alignment horizontal="left" vertical="center"/>
    </xf>
    <xf numFmtId="165" fontId="53" fillId="6" borderId="0" xfId="0" applyNumberFormat="1" applyFont="1" applyFill="1" applyAlignment="1">
      <alignment vertical="center"/>
    </xf>
    <xf numFmtId="175" fontId="87" fillId="0" borderId="0" xfId="0" applyNumberFormat="1" applyFont="1" applyAlignment="1">
      <alignment horizontal="center" vertical="center"/>
    </xf>
    <xf numFmtId="194" fontId="88" fillId="0" borderId="0" xfId="0" applyNumberFormat="1" applyFont="1" applyAlignment="1">
      <alignment horizontal="right" vertical="center"/>
    </xf>
    <xf numFmtId="178" fontId="88" fillId="0" borderId="0" xfId="0" applyNumberFormat="1" applyFont="1" applyAlignment="1">
      <alignment horizontal="right" vertical="center"/>
    </xf>
    <xf numFmtId="184" fontId="88" fillId="0" borderId="0" xfId="0" applyNumberFormat="1" applyFont="1" applyAlignment="1">
      <alignment vertical="center"/>
    </xf>
    <xf numFmtId="182" fontId="89" fillId="0" borderId="0" xfId="0" applyNumberFormat="1" applyFont="1" applyAlignment="1">
      <alignment horizontal="right" vertical="center"/>
    </xf>
    <xf numFmtId="165" fontId="89" fillId="0" borderId="0" xfId="0" applyNumberFormat="1" applyFont="1" applyAlignment="1">
      <alignment vertical="center"/>
    </xf>
    <xf numFmtId="177" fontId="88" fillId="0" borderId="0" xfId="0" applyNumberFormat="1" applyFont="1" applyAlignment="1">
      <alignment horizontal="right" vertical="center"/>
    </xf>
    <xf numFmtId="177" fontId="88" fillId="0" borderId="0" xfId="0" applyNumberFormat="1" applyFont="1" applyAlignment="1">
      <alignment vertical="center"/>
    </xf>
    <xf numFmtId="179" fontId="88" fillId="0" borderId="0" xfId="0" applyNumberFormat="1" applyFont="1" applyAlignment="1">
      <alignment vertical="center"/>
    </xf>
    <xf numFmtId="181" fontId="89" fillId="0" borderId="0" xfId="0" applyNumberFormat="1" applyFont="1" applyAlignment="1">
      <alignment vertical="center"/>
    </xf>
    <xf numFmtId="188" fontId="88" fillId="0" borderId="0" xfId="0" applyNumberFormat="1" applyFont="1" applyAlignment="1">
      <alignment horizontal="right" vertical="center"/>
    </xf>
    <xf numFmtId="186" fontId="88" fillId="0" borderId="0" xfId="0" applyNumberFormat="1" applyFont="1" applyAlignment="1">
      <alignment horizontal="right" vertical="center"/>
    </xf>
    <xf numFmtId="180" fontId="88" fillId="0" borderId="0" xfId="0" applyNumberFormat="1" applyFont="1" applyAlignment="1">
      <alignment horizontal="right" vertical="center"/>
    </xf>
    <xf numFmtId="193" fontId="88" fillId="0" borderId="0" xfId="0" applyNumberFormat="1" applyFont="1" applyAlignment="1">
      <alignment vertical="center"/>
    </xf>
    <xf numFmtId="196" fontId="88" fillId="0" borderId="0" xfId="0" applyNumberFormat="1" applyFont="1" applyAlignment="1">
      <alignment horizontal="right" vertical="center" indent="1"/>
    </xf>
    <xf numFmtId="188" fontId="88" fillId="0" borderId="0" xfId="0" applyNumberFormat="1" applyFont="1" applyAlignment="1">
      <alignment vertical="center"/>
    </xf>
    <xf numFmtId="181" fontId="89" fillId="0" borderId="0" xfId="0" applyNumberFormat="1" applyFont="1" applyAlignment="1">
      <alignment horizontal="right" vertical="center"/>
    </xf>
    <xf numFmtId="177" fontId="87" fillId="0" borderId="0" xfId="0" applyNumberFormat="1" applyFont="1" applyAlignment="1">
      <alignment horizontal="right" vertical="center"/>
    </xf>
    <xf numFmtId="179" fontId="88" fillId="0" borderId="0" xfId="0" applyNumberFormat="1" applyFont="1" applyAlignment="1">
      <alignment horizontal="right" vertical="center"/>
    </xf>
    <xf numFmtId="179" fontId="87" fillId="0" borderId="3" xfId="0" applyNumberFormat="1" applyFont="1" applyBorder="1" applyAlignment="1">
      <alignment horizontal="right" vertical="center"/>
    </xf>
    <xf numFmtId="179" fontId="88" fillId="0" borderId="0" xfId="1" applyNumberFormat="1" applyFont="1" applyAlignment="1">
      <alignment horizontal="right" vertical="center"/>
    </xf>
    <xf numFmtId="184" fontId="88" fillId="0" borderId="0" xfId="0" applyNumberFormat="1" applyFont="1" applyAlignment="1">
      <alignment horizontal="right" vertical="center"/>
    </xf>
    <xf numFmtId="182" fontId="89" fillId="0" borderId="0" xfId="0" applyNumberFormat="1" applyFont="1" applyAlignment="1">
      <alignment vertical="center"/>
    </xf>
    <xf numFmtId="179" fontId="88" fillId="0" borderId="3" xfId="0" applyNumberFormat="1" applyFont="1" applyBorder="1" applyAlignment="1">
      <alignment vertical="center"/>
    </xf>
    <xf numFmtId="0" fontId="88" fillId="3" borderId="0" xfId="0" applyFont="1" applyFill="1" applyAlignment="1">
      <alignment horizontal="center" vertical="center"/>
    </xf>
    <xf numFmtId="177" fontId="88" fillId="3" borderId="0" xfId="0" applyNumberFormat="1" applyFont="1" applyFill="1" applyAlignment="1">
      <alignment vertical="center"/>
    </xf>
    <xf numFmtId="179" fontId="88" fillId="3" borderId="0" xfId="0" applyNumberFormat="1" applyFont="1" applyFill="1" applyAlignment="1">
      <alignment vertical="center"/>
    </xf>
    <xf numFmtId="182" fontId="89" fillId="3" borderId="0" xfId="0" applyNumberFormat="1" applyFont="1" applyFill="1" applyAlignment="1">
      <alignment horizontal="right" vertical="center"/>
    </xf>
    <xf numFmtId="196" fontId="88" fillId="3" borderId="0" xfId="0" applyNumberFormat="1" applyFont="1" applyFill="1" applyAlignment="1">
      <alignment horizontal="right" vertical="center"/>
    </xf>
    <xf numFmtId="179" fontId="88" fillId="6" borderId="0" xfId="0" applyNumberFormat="1" applyFont="1" applyFill="1" applyAlignment="1">
      <alignment vertical="center"/>
    </xf>
    <xf numFmtId="188" fontId="88" fillId="6" borderId="0" xfId="0" applyNumberFormat="1" applyFont="1" applyFill="1" applyAlignment="1">
      <alignment vertical="center"/>
    </xf>
    <xf numFmtId="181" fontId="89" fillId="3" borderId="0" xfId="0" applyNumberFormat="1" applyFont="1" applyFill="1" applyAlignment="1">
      <alignment horizontal="right" vertical="center"/>
    </xf>
    <xf numFmtId="177" fontId="88" fillId="0" borderId="0" xfId="0" applyNumberFormat="1" applyFont="1"/>
    <xf numFmtId="177" fontId="88" fillId="0" borderId="3" xfId="0" applyNumberFormat="1" applyFont="1" applyBorder="1" applyAlignment="1">
      <alignment vertical="center"/>
    </xf>
    <xf numFmtId="183" fontId="88" fillId="3" borderId="0" xfId="0" applyNumberFormat="1" applyFont="1" applyFill="1" applyAlignment="1">
      <alignment vertical="center"/>
    </xf>
    <xf numFmtId="184" fontId="88" fillId="3" borderId="0" xfId="0" applyNumberFormat="1" applyFont="1" applyFill="1" applyAlignment="1">
      <alignment vertical="center"/>
    </xf>
    <xf numFmtId="188" fontId="88" fillId="3" borderId="0" xfId="0" applyNumberFormat="1" applyFont="1" applyFill="1" applyAlignment="1">
      <alignment vertical="center"/>
    </xf>
    <xf numFmtId="186" fontId="88" fillId="3" borderId="0" xfId="0" applyNumberFormat="1" applyFont="1" applyFill="1" applyAlignment="1">
      <alignment horizontal="right" vertical="center"/>
    </xf>
    <xf numFmtId="177" fontId="88" fillId="3" borderId="0" xfId="0" applyNumberFormat="1" applyFont="1" applyFill="1" applyAlignment="1">
      <alignment horizontal="right" vertical="center"/>
    </xf>
    <xf numFmtId="179" fontId="88" fillId="3" borderId="0" xfId="0" applyNumberFormat="1" applyFont="1" applyFill="1" applyAlignment="1">
      <alignment horizontal="right" vertical="center"/>
    </xf>
    <xf numFmtId="181" fontId="89" fillId="3" borderId="0" xfId="0" applyNumberFormat="1" applyFont="1" applyFill="1" applyAlignment="1">
      <alignment vertical="center"/>
    </xf>
    <xf numFmtId="184" fontId="88" fillId="3" borderId="0" xfId="0" applyNumberFormat="1" applyFont="1" applyFill="1" applyAlignment="1">
      <alignment horizontal="right" vertical="center"/>
    </xf>
    <xf numFmtId="177" fontId="87" fillId="6" borderId="6" xfId="0" applyNumberFormat="1" applyFont="1" applyFill="1" applyBorder="1" applyAlignment="1">
      <alignment vertical="center"/>
    </xf>
    <xf numFmtId="193" fontId="88" fillId="0" borderId="0" xfId="0" applyNumberFormat="1" applyFont="1" applyAlignment="1">
      <alignment horizontal="right" vertical="center"/>
    </xf>
    <xf numFmtId="0" fontId="88" fillId="0" borderId="0" xfId="0" applyFont="1" applyAlignment="1">
      <alignment horizontal="right"/>
    </xf>
    <xf numFmtId="0" fontId="90" fillId="0" borderId="0" xfId="2" applyFont="1" applyAlignment="1">
      <alignment horizontal="right"/>
    </xf>
    <xf numFmtId="0" fontId="88" fillId="0" borderId="0" xfId="0" applyFont="1" applyAlignment="1">
      <alignment vertical="center"/>
    </xf>
    <xf numFmtId="184" fontId="88" fillId="6" borderId="0" xfId="0" applyNumberFormat="1" applyFont="1" applyFill="1" applyAlignment="1">
      <alignment horizontal="right" vertical="center"/>
    </xf>
    <xf numFmtId="182" fontId="89" fillId="6" borderId="0" xfId="0" applyNumberFormat="1" applyFont="1" applyFill="1" applyAlignment="1">
      <alignment horizontal="right" vertical="center"/>
    </xf>
    <xf numFmtId="0" fontId="88" fillId="0" borderId="0" xfId="0" applyFont="1" applyAlignment="1">
      <alignment horizontal="left" vertical="center" indent="1"/>
    </xf>
    <xf numFmtId="206" fontId="36" fillId="0" borderId="0" xfId="0" applyNumberFormat="1" applyFont="1" applyAlignment="1">
      <alignment vertical="center"/>
    </xf>
  </cellXfs>
  <cellStyles count="28">
    <cellStyle name="A¨­￠￢￠O [0]_C¡IAo_AoAUAy¡ÆeC¡I " xfId="4" xr:uid="{00000000-0005-0000-0000-000000000000}"/>
    <cellStyle name="A¨­￠￢￠O_AoAUAy¡ÆeC¡I " xfId="5" xr:uid="{00000000-0005-0000-0000-000001000000}"/>
    <cellStyle name="ÅëÈ­ [0]_INQUIRY ¿µ¾÷ÃßÁø " xfId="6" xr:uid="{00000000-0005-0000-0000-000002000000}"/>
    <cellStyle name="AeE­ [0]_INQUIRY ¿μ¾÷AßAø " xfId="7" xr:uid="{00000000-0005-0000-0000-000003000000}"/>
    <cellStyle name="ÅëÈ­_INQUIRY ¿µ¾÷ÃßÁø " xfId="8" xr:uid="{00000000-0005-0000-0000-000004000000}"/>
    <cellStyle name="AeE­_INQUIRY ¿μ¾÷AßAø " xfId="9" xr:uid="{00000000-0005-0000-0000-000005000000}"/>
    <cellStyle name="Amount_EQU_RIGH.XLS_Equity market_Preferred Securities " xfId="10" xr:uid="{00000000-0005-0000-0000-000006000000}"/>
    <cellStyle name="C￥AØ_¿μ¾÷CoE² " xfId="11" xr:uid="{00000000-0005-0000-0000-000007000000}"/>
    <cellStyle name="Ç¥ÁØ_»ç¾÷ºÎº° ÃÑ°è " xfId="12" xr:uid="{00000000-0005-0000-0000-000008000000}"/>
    <cellStyle name="C￥AØ_≫c¾÷ºIº° AN°e " xfId="13" xr:uid="{00000000-0005-0000-0000-000009000000}"/>
    <cellStyle name="Ç¥ÁØ_0N-HANDLING " xfId="14" xr:uid="{00000000-0005-0000-0000-00000A000000}"/>
    <cellStyle name="C￥AØ_¾ÆA§AU¾÷" xfId="15" xr:uid="{00000000-0005-0000-0000-00000B000000}"/>
    <cellStyle name="Ç¥ÁØ_5-1±¤°í " xfId="16" xr:uid="{00000000-0005-0000-0000-00000C000000}"/>
    <cellStyle name="C￥AØ_Ay°eC￥(2¿u) " xfId="17" xr:uid="{00000000-0005-0000-0000-00000D000000}"/>
    <cellStyle name="Ç¥ÁØ_Áý°èÇ¥(2¿ù) " xfId="18" xr:uid="{00000000-0005-0000-0000-00000E000000}"/>
    <cellStyle name="C￥AØ_CoAo¹yAI °A¾×¿ⓒ½A " xfId="19" xr:uid="{00000000-0005-0000-0000-00000F000000}"/>
    <cellStyle name="Ç¥ÁØ_Sheet1_¿µ¾÷ÇöÈ² " xfId="20" xr:uid="{00000000-0005-0000-0000-000010000000}"/>
    <cellStyle name="Check Cell" xfId="23" builtinId="23" hidden="1"/>
    <cellStyle name="Comma" xfId="1" builtinId="3"/>
    <cellStyle name="Comma [0]" xfId="21" builtinId="6" hidden="1"/>
    <cellStyle name="Currency [0]" xfId="22" builtinId="7" hidden="1"/>
    <cellStyle name="Heading 1" xfId="3" builtinId="16"/>
    <cellStyle name="Hyperlink" xfId="2" builtinId="8"/>
    <cellStyle name="Hyperlink 2" xfId="26" xr:uid="{CEAABD0D-420D-4893-B725-BF7C00AC430D}"/>
    <cellStyle name="Hyperlink 2 2" xfId="27" xr:uid="{2B2367C3-DDD9-4248-B920-61B1298A26A8}"/>
    <cellStyle name="Normal" xfId="0" builtinId="0"/>
    <cellStyle name="Normal 2" xfId="25" xr:uid="{41BDC760-61BC-44A5-B8C8-DFFFF4412FD6}"/>
    <cellStyle name="Normal 2 2 2" xfId="24" xr:uid="{E62CF8F5-A066-4028-9041-B17643CE4B7F}"/>
  </cellStyles>
  <dxfs count="3">
    <dxf>
      <font>
        <i val="0"/>
        <condense val="0"/>
        <extend val="0"/>
        <color indexed="10"/>
      </font>
    </dxf>
    <dxf>
      <font>
        <i val="0"/>
        <condense val="0"/>
        <extend val="0"/>
        <color indexed="10"/>
      </font>
    </dxf>
    <dxf>
      <font>
        <i val="0"/>
        <condense val="0"/>
        <extend val="0"/>
        <color indexed="10"/>
      </font>
    </dxf>
  </dxfs>
  <tableStyles count="0" defaultTableStyle="TableStyleMedium2" defaultPivotStyle="PivotStyleLight16"/>
  <colors>
    <mruColors>
      <color rgb="FFEBEBE6"/>
      <color rgb="FFFFF5D2"/>
      <color rgb="FF003769"/>
      <color rgb="FF1F497D"/>
      <color rgb="FF235A8C"/>
      <color rgb="FFECEBE5"/>
      <color rgb="FF4F81BD"/>
      <color rgb="FF255B89"/>
      <color rgb="FFC3DDB8"/>
      <color rgb="FFE1EED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macabacus.com" TargetMode="External"/></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macabacus.com" TargetMode="External"/></Relationships>
</file>

<file path=xl/drawings/drawing1.xml><?xml version="1.0" encoding="utf-8"?>
<xdr:wsDr xmlns:xdr="http://schemas.openxmlformats.org/drawingml/2006/spreadsheetDrawing" xmlns:a="http://schemas.openxmlformats.org/drawingml/2006/main">
  <xdr:twoCellAnchor editAs="oneCell">
    <xdr:from>
      <xdr:col>2</xdr:col>
      <xdr:colOff>14288</xdr:colOff>
      <xdr:row>2</xdr:row>
      <xdr:rowOff>200026</xdr:rowOff>
    </xdr:from>
    <xdr:to>
      <xdr:col>3</xdr:col>
      <xdr:colOff>471093</xdr:colOff>
      <xdr:row>6</xdr:row>
      <xdr:rowOff>52388</xdr:rowOff>
    </xdr:to>
    <xdr:pic>
      <xdr:nvPicPr>
        <xdr:cNvPr id="2" name="Picture 1">
          <a:hlinkClick xmlns:r="http://schemas.openxmlformats.org/officeDocument/2006/relationships" r:id="rId1"/>
          <a:extLst>
            <a:ext uri="{FF2B5EF4-FFF2-40B4-BE49-F238E27FC236}">
              <a16:creationId xmlns:a16="http://schemas.microsoft.com/office/drawing/2014/main" id="{16B53285-40DF-41D6-AA9B-EAFBC2FB5FFC}"/>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03898" y="695326"/>
          <a:ext cx="3112375" cy="84296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183776</xdr:colOff>
      <xdr:row>0</xdr:row>
      <xdr:rowOff>26893</xdr:rowOff>
    </xdr:from>
    <xdr:to>
      <xdr:col>3</xdr:col>
      <xdr:colOff>598367</xdr:colOff>
      <xdr:row>0</xdr:row>
      <xdr:rowOff>572864</xdr:rowOff>
    </xdr:to>
    <xdr:pic>
      <xdr:nvPicPr>
        <xdr:cNvPr id="2" name="Picture 1">
          <a:hlinkClick xmlns:r="http://schemas.openxmlformats.org/officeDocument/2006/relationships" r:id="rId1"/>
          <a:extLst>
            <a:ext uri="{FF2B5EF4-FFF2-40B4-BE49-F238E27FC236}">
              <a16:creationId xmlns:a16="http://schemas.microsoft.com/office/drawing/2014/main" id="{B16A3BFB-DCED-4955-B907-B9F5FA7B8F6C}"/>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70466" y="26893"/>
          <a:ext cx="2022411" cy="54597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ared%20drives\Non%20Course%20Content\Macabacus%20Learning%20Resources\Complete%20Models%20-%20Complete\vc-returns.xlsx" TargetMode="External"/><Relationship Id="rId1" Type="http://schemas.openxmlformats.org/officeDocument/2006/relationships/externalLinkPath" Target="vc-return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over Page"/>
      <sheetName val="VC Returns"/>
    </sheetNames>
    <sheetDataSet>
      <sheetData sheetId="0"/>
      <sheetData sheetId="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feedback@macabacus.com" TargetMode="External"/><Relationship Id="rId1" Type="http://schemas.openxmlformats.org/officeDocument/2006/relationships/hyperlink" Target="https://www.macabacus.com/"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feedback@macabacus.com" TargetMode="External"/><Relationship Id="rId1" Type="http://schemas.openxmlformats.org/officeDocument/2006/relationships/hyperlink" Target="http://www.macacbacus.com/"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388C3D-4422-4B27-BA13-D671D1B4E1B9}">
  <sheetPr>
    <pageSetUpPr fitToPage="1"/>
  </sheetPr>
  <dimension ref="A1:O54"/>
  <sheetViews>
    <sheetView showGridLines="0" tabSelected="1" zoomScale="75" zoomScaleNormal="75" zoomScaleSheetLayoutView="70" workbookViewId="0">
      <selection activeCell="C15" sqref="C15"/>
    </sheetView>
  </sheetViews>
  <sheetFormatPr defaultRowHeight="14.4"/>
  <cols>
    <col min="1" max="1" width="4.94140625" style="3" customWidth="1"/>
    <col min="2" max="2" width="5.109375" style="3" customWidth="1"/>
    <col min="3" max="3" width="38.71875" style="3" customWidth="1"/>
    <col min="4" max="11" width="11.27734375" style="3" customWidth="1"/>
    <col min="12" max="12" width="38.71875" style="3" customWidth="1"/>
    <col min="13" max="13" width="5.109375" style="3" customWidth="1"/>
    <col min="14" max="16384" width="8.88671875" style="3"/>
  </cols>
  <sheetData>
    <row r="1" spans="1:15" ht="19.5" customHeight="1" thickBot="1">
      <c r="A1" s="2"/>
      <c r="B1" s="2"/>
      <c r="C1" s="2"/>
      <c r="D1" s="2"/>
      <c r="E1" s="2"/>
      <c r="F1" s="2"/>
      <c r="G1" s="2"/>
      <c r="H1" s="2"/>
      <c r="I1" s="2"/>
      <c r="J1" s="2"/>
      <c r="K1" s="2"/>
      <c r="L1" s="2"/>
      <c r="M1" s="2"/>
    </row>
    <row r="2" spans="1:15" ht="19.5" customHeight="1" thickTop="1">
      <c r="A2" s="2"/>
      <c r="B2" s="4"/>
      <c r="C2" s="5"/>
      <c r="D2" s="5"/>
      <c r="E2" s="5"/>
      <c r="F2" s="5"/>
      <c r="G2" s="5"/>
      <c r="H2" s="5"/>
      <c r="I2" s="5"/>
      <c r="J2" s="5"/>
      <c r="K2" s="5"/>
      <c r="L2" s="5"/>
      <c r="M2" s="6"/>
    </row>
    <row r="3" spans="1:15" ht="19.5" customHeight="1">
      <c r="A3" s="2"/>
      <c r="B3" s="7"/>
      <c r="C3" s="8"/>
      <c r="D3" s="8"/>
      <c r="E3" s="8"/>
      <c r="F3" s="8"/>
      <c r="G3" s="8"/>
      <c r="H3" s="8"/>
      <c r="I3" s="8"/>
      <c r="J3" s="8"/>
      <c r="K3" s="8"/>
      <c r="L3" s="8"/>
      <c r="M3" s="9"/>
      <c r="O3" s="10"/>
    </row>
    <row r="4" spans="1:15" ht="19.5" customHeight="1">
      <c r="A4" s="2"/>
      <c r="B4" s="7"/>
      <c r="C4" s="8"/>
      <c r="D4" s="8"/>
      <c r="E4" s="8"/>
      <c r="F4" s="8"/>
      <c r="G4" s="8"/>
      <c r="H4" s="8"/>
      <c r="I4" s="8"/>
      <c r="J4" s="8"/>
      <c r="K4" s="8"/>
      <c r="L4" s="8"/>
      <c r="M4" s="9"/>
      <c r="O4" s="10"/>
    </row>
    <row r="5" spans="1:15" ht="19.5" customHeight="1">
      <c r="A5" s="2"/>
      <c r="B5" s="7"/>
      <c r="C5" s="8"/>
      <c r="D5" s="8"/>
      <c r="E5" s="8"/>
      <c r="F5" s="8"/>
      <c r="G5" s="8"/>
      <c r="H5" s="8"/>
      <c r="I5" s="8"/>
      <c r="J5" s="8"/>
      <c r="K5" s="8"/>
      <c r="L5" s="8"/>
      <c r="M5" s="9"/>
    </row>
    <row r="6" spans="1:15" ht="19.5" customHeight="1">
      <c r="A6" s="2"/>
      <c r="B6" s="7"/>
      <c r="C6" s="8"/>
      <c r="D6" s="8"/>
      <c r="E6" s="8"/>
      <c r="F6" s="8"/>
      <c r="G6" s="8"/>
      <c r="H6" s="8"/>
      <c r="I6" s="8"/>
      <c r="J6" s="8"/>
      <c r="K6" s="8"/>
      <c r="L6" s="8"/>
      <c r="M6" s="9"/>
    </row>
    <row r="7" spans="1:15" ht="19.5" customHeight="1">
      <c r="A7" s="2"/>
      <c r="B7" s="7"/>
      <c r="C7" s="8"/>
      <c r="D7" s="8"/>
      <c r="E7" s="8"/>
      <c r="F7" s="8"/>
      <c r="G7" s="8"/>
      <c r="H7" s="8"/>
      <c r="I7" s="8"/>
      <c r="J7" s="8"/>
      <c r="K7" s="8"/>
      <c r="L7" s="8"/>
      <c r="M7" s="9"/>
    </row>
    <row r="8" spans="1:15" ht="19.5" customHeight="1">
      <c r="A8" s="2"/>
      <c r="B8" s="7"/>
      <c r="C8" s="8"/>
      <c r="D8" s="8"/>
      <c r="E8" s="8"/>
      <c r="F8" s="8"/>
      <c r="G8" s="8"/>
      <c r="H8" s="8"/>
      <c r="I8" s="8"/>
      <c r="J8" s="8"/>
      <c r="K8" s="8"/>
      <c r="L8" s="8"/>
      <c r="M8" s="9"/>
    </row>
    <row r="9" spans="1:15" ht="19.5" customHeight="1">
      <c r="A9" s="2"/>
      <c r="B9" s="7"/>
      <c r="C9" s="8"/>
      <c r="D9" s="8"/>
      <c r="E9" s="8"/>
      <c r="F9" s="8"/>
      <c r="G9" s="8"/>
      <c r="H9" s="8"/>
      <c r="I9" s="8"/>
      <c r="J9" s="8"/>
      <c r="K9" s="8"/>
      <c r="L9" s="8"/>
      <c r="M9" s="9"/>
    </row>
    <row r="10" spans="1:15" ht="19.5" customHeight="1">
      <c r="A10" s="2"/>
      <c r="B10" s="11"/>
      <c r="C10" s="2"/>
      <c r="D10" s="2"/>
      <c r="E10" s="2"/>
      <c r="F10" s="2"/>
      <c r="G10" s="2"/>
      <c r="H10" s="2"/>
      <c r="I10" s="2"/>
      <c r="J10" s="2"/>
      <c r="K10" s="2"/>
      <c r="L10" s="2"/>
      <c r="M10" s="12"/>
    </row>
    <row r="11" spans="1:15" ht="28.5" customHeight="1">
      <c r="A11" s="2"/>
      <c r="B11" s="11"/>
      <c r="C11" s="13" t="s">
        <v>753</v>
      </c>
      <c r="D11" s="2"/>
      <c r="E11" s="2"/>
      <c r="F11" s="2"/>
      <c r="G11" s="2"/>
      <c r="H11" s="2"/>
      <c r="I11" s="2"/>
      <c r="J11" s="2"/>
      <c r="K11" s="2"/>
      <c r="L11" s="14" t="s">
        <v>722</v>
      </c>
      <c r="M11" s="12"/>
    </row>
    <row r="12" spans="1:15" ht="19.5" customHeight="1">
      <c r="A12" s="2"/>
      <c r="B12" s="11"/>
      <c r="C12" s="15"/>
      <c r="D12" s="2"/>
      <c r="E12" s="2"/>
      <c r="F12" s="2"/>
      <c r="G12" s="2"/>
      <c r="H12" s="2"/>
      <c r="I12" s="2"/>
      <c r="J12" s="2"/>
      <c r="K12" s="16"/>
      <c r="L12" s="16"/>
      <c r="M12" s="12"/>
    </row>
    <row r="13" spans="1:15" ht="19.5" customHeight="1">
      <c r="A13" s="2"/>
      <c r="B13" s="11"/>
      <c r="C13" s="17" t="s">
        <v>723</v>
      </c>
      <c r="D13" s="18"/>
      <c r="E13" s="18"/>
      <c r="F13" s="18"/>
      <c r="G13" s="18"/>
      <c r="H13" s="18"/>
      <c r="I13" s="18"/>
      <c r="J13" s="18"/>
      <c r="K13" s="16"/>
      <c r="L13" s="16"/>
      <c r="M13" s="12"/>
    </row>
    <row r="14" spans="1:15" ht="19.5" customHeight="1">
      <c r="A14" s="2"/>
      <c r="B14" s="11"/>
      <c r="C14" s="2"/>
      <c r="D14" s="18"/>
      <c r="E14" s="18"/>
      <c r="F14" s="18"/>
      <c r="G14" s="18"/>
      <c r="H14" s="18"/>
      <c r="I14" s="18"/>
      <c r="J14" s="18"/>
      <c r="K14" s="18"/>
      <c r="L14" s="18"/>
      <c r="M14" s="12"/>
    </row>
    <row r="15" spans="1:15" ht="19.5" customHeight="1">
      <c r="A15" s="2"/>
      <c r="B15" s="11"/>
      <c r="C15" s="19" t="s">
        <v>754</v>
      </c>
      <c r="D15" s="18"/>
      <c r="E15" s="18"/>
      <c r="F15" s="18"/>
      <c r="G15" s="18"/>
      <c r="H15" s="18"/>
      <c r="I15" s="18"/>
      <c r="J15" s="18"/>
      <c r="K15" s="18"/>
      <c r="L15" s="18"/>
      <c r="M15" s="12"/>
    </row>
    <row r="16" spans="1:15" ht="19.5" customHeight="1">
      <c r="A16" s="2"/>
      <c r="B16" s="11"/>
      <c r="C16"/>
      <c r="D16" s="18"/>
      <c r="E16" s="18"/>
      <c r="F16" s="18"/>
      <c r="G16" s="18"/>
      <c r="H16" s="18"/>
      <c r="I16" s="18"/>
      <c r="J16" s="18"/>
      <c r="K16" s="18"/>
      <c r="L16" s="18"/>
      <c r="M16" s="12"/>
    </row>
    <row r="17" spans="1:15" ht="19.5" customHeight="1">
      <c r="A17" s="2"/>
      <c r="B17" s="11"/>
      <c r="C17" s="20" t="s">
        <v>724</v>
      </c>
      <c r="D17" s="21"/>
      <c r="E17" s="18"/>
      <c r="F17" s="18"/>
      <c r="G17" s="18"/>
      <c r="H17" s="18"/>
      <c r="I17" s="18"/>
      <c r="J17" s="18"/>
      <c r="K17" s="18"/>
      <c r="L17" s="18"/>
      <c r="M17" s="12"/>
    </row>
    <row r="18" spans="1:15" ht="19.5" customHeight="1">
      <c r="A18" s="2"/>
      <c r="B18" s="11"/>
      <c r="C18" s="20" t="s">
        <v>725</v>
      </c>
      <c r="D18" s="22" t="s">
        <v>726</v>
      </c>
      <c r="E18" s="18"/>
      <c r="F18" s="18"/>
      <c r="G18" s="18"/>
      <c r="H18" s="18"/>
      <c r="I18" s="18"/>
      <c r="J18" s="18"/>
      <c r="K18" s="18"/>
      <c r="L18" s="18"/>
      <c r="M18" s="12"/>
    </row>
    <row r="19" spans="1:15" ht="19.5" customHeight="1">
      <c r="A19" s="2"/>
      <c r="B19" s="11"/>
      <c r="C19" s="20" t="s">
        <v>727</v>
      </c>
      <c r="D19" s="22" t="s">
        <v>728</v>
      </c>
      <c r="E19" s="18"/>
      <c r="F19" s="18"/>
      <c r="G19" s="18"/>
      <c r="H19" s="18"/>
      <c r="I19" s="18"/>
      <c r="J19" s="18"/>
      <c r="K19" s="18"/>
      <c r="L19" s="18"/>
      <c r="M19" s="12"/>
    </row>
    <row r="20" spans="1:15" ht="19.5" customHeight="1">
      <c r="A20" s="2"/>
      <c r="B20" s="11"/>
      <c r="C20" s="20"/>
      <c r="D20" s="22"/>
      <c r="E20" s="18"/>
      <c r="F20" s="18"/>
      <c r="G20" s="18"/>
      <c r="H20" s="18"/>
      <c r="I20" s="18"/>
      <c r="J20" s="18"/>
      <c r="K20" s="18"/>
      <c r="L20" s="18"/>
      <c r="M20" s="12"/>
    </row>
    <row r="21" spans="1:15" ht="19.5" customHeight="1">
      <c r="A21" s="2"/>
      <c r="B21" s="11"/>
      <c r="C21" s="23" t="s">
        <v>729</v>
      </c>
      <c r="D21" s="24"/>
      <c r="E21" s="24"/>
      <c r="F21" s="24"/>
      <c r="G21" s="24"/>
      <c r="H21" s="24"/>
      <c r="I21" s="24"/>
      <c r="J21" s="24"/>
      <c r="K21" s="24"/>
      <c r="L21" s="24"/>
      <c r="M21" s="12"/>
      <c r="O21" s="25"/>
    </row>
    <row r="22" spans="1:15" ht="19.5" customHeight="1">
      <c r="A22" s="2"/>
      <c r="B22" s="11"/>
      <c r="C22" s="23"/>
      <c r="D22" s="24"/>
      <c r="E22" s="24"/>
      <c r="F22" s="24"/>
      <c r="G22" s="24"/>
      <c r="H22" s="24"/>
      <c r="I22" s="24"/>
      <c r="J22" s="24"/>
      <c r="K22" s="24"/>
      <c r="L22" s="24"/>
      <c r="M22" s="12"/>
      <c r="O22" s="26"/>
    </row>
    <row r="23" spans="1:15" ht="19.5" customHeight="1">
      <c r="A23" s="2"/>
      <c r="B23" s="11"/>
      <c r="C23" s="23" t="s">
        <v>569</v>
      </c>
      <c r="D23" s="24"/>
      <c r="E23" s="24"/>
      <c r="F23" s="24"/>
      <c r="G23" s="24"/>
      <c r="H23" s="24"/>
      <c r="I23" s="24"/>
      <c r="J23" s="24"/>
      <c r="K23" s="24"/>
      <c r="L23" s="24"/>
      <c r="M23" s="12"/>
      <c r="O23" s="25"/>
    </row>
    <row r="24" spans="1:15" ht="19.5" customHeight="1">
      <c r="A24" s="2"/>
      <c r="B24" s="11"/>
      <c r="C24" s="27" t="s">
        <v>730</v>
      </c>
      <c r="D24" s="24"/>
      <c r="E24" s="24"/>
      <c r="F24" s="24"/>
      <c r="G24" s="24"/>
      <c r="H24" s="24"/>
      <c r="I24" s="24"/>
      <c r="J24" s="24"/>
      <c r="K24" s="24"/>
      <c r="L24" s="24"/>
      <c r="M24" s="12"/>
    </row>
    <row r="25" spans="1:15" ht="19.5" customHeight="1">
      <c r="A25" s="2"/>
      <c r="B25" s="11"/>
      <c r="C25" s="27" t="s">
        <v>731</v>
      </c>
      <c r="D25" s="24"/>
      <c r="E25" s="24"/>
      <c r="F25" s="24"/>
      <c r="G25" s="24"/>
      <c r="H25" s="24"/>
      <c r="I25" s="24"/>
      <c r="J25" s="24"/>
      <c r="K25" s="24"/>
      <c r="L25" s="24"/>
      <c r="M25" s="12"/>
    </row>
    <row r="26" spans="1:15" ht="19.5" customHeight="1">
      <c r="A26" s="2"/>
      <c r="B26" s="11"/>
      <c r="C26" s="27" t="s">
        <v>732</v>
      </c>
      <c r="D26" s="24"/>
      <c r="E26" s="24"/>
      <c r="F26" s="24"/>
      <c r="G26" s="24"/>
      <c r="H26" s="24"/>
      <c r="I26" s="24"/>
      <c r="J26" s="24"/>
      <c r="K26" s="24"/>
      <c r="L26" s="24"/>
      <c r="M26" s="12"/>
    </row>
    <row r="27" spans="1:15" ht="19.5" customHeight="1">
      <c r="A27" s="2"/>
      <c r="B27" s="11"/>
      <c r="C27" s="27"/>
      <c r="D27" s="24"/>
      <c r="E27" s="24"/>
      <c r="F27" s="24"/>
      <c r="G27" s="24"/>
      <c r="H27" s="24"/>
      <c r="I27" s="24"/>
      <c r="J27" s="24"/>
      <c r="K27" s="24"/>
      <c r="L27" s="24"/>
      <c r="M27" s="12"/>
    </row>
    <row r="28" spans="1:15" ht="19.5" customHeight="1">
      <c r="A28" s="2"/>
      <c r="B28" s="11"/>
      <c r="C28" s="23" t="s">
        <v>569</v>
      </c>
      <c r="D28" s="24"/>
      <c r="E28" s="24"/>
      <c r="F28" s="24"/>
      <c r="G28" s="24"/>
      <c r="H28" s="24"/>
      <c r="I28" s="24"/>
      <c r="J28" s="24"/>
      <c r="K28" s="24"/>
      <c r="L28" s="24"/>
      <c r="M28" s="12"/>
    </row>
    <row r="29" spans="1:15" ht="19.5" customHeight="1">
      <c r="A29" s="2"/>
      <c r="B29" s="11"/>
      <c r="C29" s="28" t="s">
        <v>733</v>
      </c>
      <c r="D29" s="24"/>
      <c r="E29" s="24"/>
      <c r="F29" s="24"/>
      <c r="G29" s="24"/>
      <c r="H29" s="24"/>
      <c r="I29" s="24"/>
      <c r="J29" s="24"/>
      <c r="K29" s="24"/>
      <c r="L29" s="24"/>
      <c r="M29" s="12"/>
    </row>
    <row r="30" spans="1:15" ht="19.5" customHeight="1">
      <c r="A30" s="2"/>
      <c r="B30" s="11"/>
      <c r="C30" s="28" t="s">
        <v>734</v>
      </c>
      <c r="D30" s="24"/>
      <c r="E30" s="24"/>
      <c r="F30" s="24"/>
      <c r="G30" s="24"/>
      <c r="H30" s="24"/>
      <c r="I30" s="24"/>
      <c r="J30" s="24"/>
      <c r="K30" s="24"/>
      <c r="L30" s="24"/>
      <c r="M30" s="12"/>
    </row>
    <row r="31" spans="1:15" ht="19.5" customHeight="1">
      <c r="A31" s="2"/>
      <c r="B31" s="11"/>
      <c r="C31" s="28" t="s">
        <v>735</v>
      </c>
      <c r="D31" s="24"/>
      <c r="E31" s="24"/>
      <c r="F31" s="24"/>
      <c r="G31" s="24"/>
      <c r="H31" s="24"/>
      <c r="I31" s="24"/>
      <c r="J31" s="24"/>
      <c r="K31" s="24"/>
      <c r="L31" s="24"/>
      <c r="M31" s="12"/>
    </row>
    <row r="32" spans="1:15" ht="19.5" customHeight="1">
      <c r="A32" s="2"/>
      <c r="B32" s="11"/>
      <c r="C32" s="28" t="s">
        <v>736</v>
      </c>
      <c r="D32" s="24"/>
      <c r="E32" s="24"/>
      <c r="F32" s="24"/>
      <c r="G32" s="24"/>
      <c r="H32" s="24"/>
      <c r="I32" s="24"/>
      <c r="J32" s="24"/>
      <c r="K32" s="24"/>
      <c r="L32" s="24"/>
      <c r="M32" s="12"/>
    </row>
    <row r="33" spans="1:15" ht="19.5" customHeight="1">
      <c r="A33" s="2"/>
      <c r="B33" s="11"/>
      <c r="C33" s="28" t="s">
        <v>737</v>
      </c>
      <c r="D33" s="24"/>
      <c r="E33" s="24"/>
      <c r="F33" s="24"/>
      <c r="G33" s="24"/>
      <c r="H33" s="24"/>
      <c r="I33" s="24"/>
      <c r="J33" s="24"/>
      <c r="K33" s="24"/>
      <c r="L33" s="24"/>
      <c r="M33" s="12"/>
    </row>
    <row r="34" spans="1:15" ht="19.5" customHeight="1">
      <c r="A34" s="2"/>
      <c r="B34" s="11"/>
      <c r="C34" s="28" t="s">
        <v>738</v>
      </c>
      <c r="D34" s="24"/>
      <c r="E34" s="24"/>
      <c r="F34" s="24"/>
      <c r="G34" s="24"/>
      <c r="H34" s="24"/>
      <c r="I34" s="24"/>
      <c r="J34" s="24"/>
      <c r="K34" s="24"/>
      <c r="L34" s="24"/>
      <c r="M34" s="12"/>
    </row>
    <row r="35" spans="1:15" ht="19.5" customHeight="1">
      <c r="A35" s="2"/>
      <c r="B35" s="11"/>
      <c r="C35" s="28" t="s">
        <v>739</v>
      </c>
      <c r="D35" s="24"/>
      <c r="E35" s="24"/>
      <c r="F35" s="24"/>
      <c r="G35" s="24"/>
      <c r="H35" s="24"/>
      <c r="I35" s="24"/>
      <c r="J35" s="24"/>
      <c r="K35" s="24"/>
      <c r="L35" s="24"/>
      <c r="M35" s="12"/>
    </row>
    <row r="36" spans="1:15" ht="19.5" customHeight="1">
      <c r="A36" s="2"/>
      <c r="B36" s="11"/>
      <c r="C36" s="28" t="s">
        <v>740</v>
      </c>
      <c r="D36" s="24"/>
      <c r="E36" s="24"/>
      <c r="F36" s="24"/>
      <c r="G36" s="24"/>
      <c r="H36" s="24"/>
      <c r="I36" s="24"/>
      <c r="J36" s="24"/>
      <c r="K36" s="24"/>
      <c r="L36" s="24"/>
      <c r="M36" s="12"/>
    </row>
    <row r="37" spans="1:15" ht="19.5" customHeight="1">
      <c r="A37" s="2"/>
      <c r="B37" s="11"/>
      <c r="C37" s="28"/>
      <c r="D37" s="24"/>
      <c r="E37" s="24"/>
      <c r="F37" s="24"/>
      <c r="G37" s="24"/>
      <c r="H37" s="24"/>
      <c r="I37" s="24"/>
      <c r="J37" s="24"/>
      <c r="K37" s="24"/>
      <c r="L37" s="24"/>
      <c r="M37" s="12"/>
    </row>
    <row r="38" spans="1:15" ht="19.5" customHeight="1">
      <c r="A38" s="2"/>
      <c r="B38" s="11"/>
      <c r="C38" s="23" t="s">
        <v>570</v>
      </c>
      <c r="D38" s="24"/>
      <c r="E38" s="24"/>
      <c r="F38" s="24"/>
      <c r="G38" s="24"/>
      <c r="H38" s="24"/>
      <c r="I38" s="24"/>
      <c r="J38" s="24"/>
      <c r="K38" s="24"/>
      <c r="L38" s="24"/>
      <c r="M38" s="12"/>
    </row>
    <row r="39" spans="1:15" ht="19.5" customHeight="1">
      <c r="A39" s="2"/>
      <c r="B39" s="11"/>
      <c r="C39" s="28" t="s">
        <v>741</v>
      </c>
      <c r="D39" s="24"/>
      <c r="E39" s="24"/>
      <c r="F39" s="24"/>
      <c r="G39" s="24"/>
      <c r="H39" s="24"/>
      <c r="I39" s="24"/>
      <c r="J39" s="24"/>
      <c r="K39" s="24"/>
      <c r="L39" s="24"/>
      <c r="M39" s="12"/>
    </row>
    <row r="40" spans="1:15" ht="19.5" customHeight="1">
      <c r="A40" s="2"/>
      <c r="B40" s="11"/>
      <c r="C40" s="28" t="s">
        <v>742</v>
      </c>
      <c r="D40" s="24"/>
      <c r="E40" s="24"/>
      <c r="F40" s="24"/>
      <c r="G40" s="24"/>
      <c r="H40" s="24"/>
      <c r="I40" s="24"/>
      <c r="J40" s="24"/>
      <c r="K40" s="24"/>
      <c r="L40" s="24"/>
      <c r="M40" s="12"/>
    </row>
    <row r="41" spans="1:15" ht="19.5" customHeight="1">
      <c r="A41" s="2"/>
      <c r="B41" s="11"/>
      <c r="C41" s="28" t="s">
        <v>743</v>
      </c>
      <c r="D41" s="24"/>
      <c r="E41" s="24"/>
      <c r="F41" s="24"/>
      <c r="G41" s="24"/>
      <c r="H41" s="24"/>
      <c r="I41" s="24"/>
      <c r="J41" s="24"/>
      <c r="K41" s="24"/>
      <c r="L41" s="24"/>
      <c r="M41" s="12"/>
    </row>
    <row r="42" spans="1:15" ht="19.5" customHeight="1">
      <c r="A42" s="2"/>
      <c r="B42" s="11"/>
      <c r="C42" s="28" t="s">
        <v>744</v>
      </c>
      <c r="D42" s="24"/>
      <c r="E42" s="24"/>
      <c r="F42" s="24"/>
      <c r="G42" s="24"/>
      <c r="H42" s="24"/>
      <c r="I42" s="24"/>
      <c r="J42" s="24"/>
      <c r="K42" s="24"/>
      <c r="L42" s="24"/>
      <c r="M42" s="12"/>
    </row>
    <row r="43" spans="1:15" ht="19.5" customHeight="1">
      <c r="A43" s="2"/>
      <c r="B43" s="11"/>
      <c r="C43" s="28" t="s">
        <v>745</v>
      </c>
      <c r="D43" s="24"/>
      <c r="E43" s="24"/>
      <c r="F43" s="24"/>
      <c r="G43" s="24"/>
      <c r="H43" s="24"/>
      <c r="I43" s="24"/>
      <c r="J43" s="24"/>
      <c r="K43" s="24"/>
      <c r="L43" s="24"/>
      <c r="M43" s="12"/>
    </row>
    <row r="44" spans="1:15" ht="19.5" customHeight="1">
      <c r="A44" s="2"/>
      <c r="B44" s="11"/>
      <c r="C44" s="28"/>
      <c r="D44" s="24"/>
      <c r="E44" s="24"/>
      <c r="F44" s="24"/>
      <c r="G44" s="24"/>
      <c r="H44" s="24"/>
      <c r="I44" s="24"/>
      <c r="J44" s="24"/>
      <c r="K44" s="24"/>
      <c r="L44" s="24"/>
      <c r="M44" s="12"/>
    </row>
    <row r="45" spans="1:15" ht="19.5" customHeight="1">
      <c r="A45" s="2"/>
      <c r="B45" s="11"/>
      <c r="C45" s="29" t="s">
        <v>746</v>
      </c>
      <c r="D45" s="30"/>
      <c r="E45" s="30"/>
      <c r="F45" s="30"/>
      <c r="G45" s="30"/>
      <c r="H45" s="30"/>
      <c r="I45" s="30"/>
      <c r="J45" s="30"/>
      <c r="K45" s="30"/>
      <c r="L45" s="30"/>
      <c r="M45" s="12"/>
      <c r="O45" s="25"/>
    </row>
    <row r="46" spans="1:15" ht="19.5" customHeight="1">
      <c r="A46" s="2"/>
      <c r="B46" s="11"/>
      <c r="C46" s="29" t="s">
        <v>747</v>
      </c>
      <c r="D46" s="30"/>
      <c r="E46" s="30"/>
      <c r="F46" s="30"/>
      <c r="G46" s="30"/>
      <c r="H46" s="30"/>
      <c r="I46" s="30"/>
      <c r="J46" s="30"/>
      <c r="K46" s="30"/>
      <c r="L46" s="30"/>
      <c r="M46" s="12"/>
      <c r="O46" s="25"/>
    </row>
    <row r="47" spans="1:15" ht="19.5" customHeight="1">
      <c r="A47" s="2"/>
      <c r="B47" s="11"/>
      <c r="C47" s="29" t="s">
        <v>748</v>
      </c>
      <c r="D47" s="30"/>
      <c r="E47" s="30"/>
      <c r="F47" s="30"/>
      <c r="G47" s="30"/>
      <c r="H47" s="30"/>
      <c r="I47" s="30"/>
      <c r="J47" s="30"/>
      <c r="K47" s="30"/>
      <c r="L47" s="30"/>
      <c r="M47" s="12"/>
      <c r="O47" s="25"/>
    </row>
    <row r="48" spans="1:15" ht="19.5" customHeight="1">
      <c r="A48" s="2"/>
      <c r="B48" s="11"/>
      <c r="C48" s="29" t="s">
        <v>749</v>
      </c>
      <c r="D48" s="30"/>
      <c r="E48" s="30"/>
      <c r="F48" s="30"/>
      <c r="G48" s="30"/>
      <c r="H48" s="30"/>
      <c r="I48" s="30"/>
      <c r="J48" s="30"/>
      <c r="K48" s="30"/>
      <c r="L48" s="30"/>
      <c r="M48" s="12"/>
      <c r="O48" s="25"/>
    </row>
    <row r="49" spans="1:15" ht="19.5" customHeight="1">
      <c r="A49" s="2"/>
      <c r="B49" s="11"/>
      <c r="C49" s="29" t="s">
        <v>750</v>
      </c>
      <c r="D49" s="30"/>
      <c r="E49" s="30"/>
      <c r="F49" s="30"/>
      <c r="G49" s="30"/>
      <c r="H49" s="30"/>
      <c r="I49" s="30"/>
      <c r="J49" s="30"/>
      <c r="K49" s="30"/>
      <c r="L49" s="30"/>
      <c r="M49" s="12"/>
      <c r="O49" s="25"/>
    </row>
    <row r="50" spans="1:15" ht="19.5" customHeight="1">
      <c r="A50" s="2"/>
      <c r="B50" s="11"/>
      <c r="C50" s="29"/>
      <c r="D50" s="30"/>
      <c r="E50" s="30"/>
      <c r="F50" s="30"/>
      <c r="G50" s="30"/>
      <c r="H50" s="30"/>
      <c r="I50" s="30"/>
      <c r="J50" s="30"/>
      <c r="K50" s="30"/>
      <c r="L50" s="30"/>
      <c r="M50" s="12"/>
    </row>
    <row r="51" spans="1:15" ht="19.5" customHeight="1">
      <c r="A51" s="2"/>
      <c r="B51" s="11"/>
      <c r="C51" s="31" t="s">
        <v>751</v>
      </c>
      <c r="D51" s="30"/>
      <c r="E51" s="30"/>
      <c r="F51" s="30"/>
      <c r="G51" s="30"/>
      <c r="H51" s="30"/>
      <c r="I51" s="30"/>
      <c r="J51" s="30"/>
      <c r="K51" s="30"/>
      <c r="L51" s="30"/>
      <c r="M51" s="12"/>
    </row>
    <row r="52" spans="1:15" ht="19.5" customHeight="1">
      <c r="A52" s="2"/>
      <c r="B52" s="11"/>
      <c r="C52" s="31" t="s">
        <v>551</v>
      </c>
      <c r="D52" s="30"/>
      <c r="E52" s="30"/>
      <c r="F52" s="30"/>
      <c r="G52" s="30"/>
      <c r="H52" s="30"/>
      <c r="I52" s="30"/>
      <c r="J52" s="30"/>
      <c r="K52" s="30"/>
      <c r="L52" s="30"/>
      <c r="M52" s="12"/>
    </row>
    <row r="53" spans="1:15" ht="19.5" customHeight="1" thickBot="1">
      <c r="A53" s="2"/>
      <c r="B53" s="32"/>
      <c r="C53" s="33"/>
      <c r="D53" s="33"/>
      <c r="E53" s="33"/>
      <c r="F53" s="33"/>
      <c r="G53" s="33"/>
      <c r="H53" s="33"/>
      <c r="I53" s="33"/>
      <c r="J53" s="33"/>
      <c r="K53" s="33"/>
      <c r="L53" s="33"/>
      <c r="M53" s="34" t="s">
        <v>752</v>
      </c>
    </row>
    <row r="54" spans="1:15" ht="19.5" customHeight="1" thickTop="1">
      <c r="A54" s="2"/>
      <c r="B54" s="2"/>
      <c r="C54" s="2"/>
      <c r="D54" s="2"/>
      <c r="E54" s="2"/>
      <c r="F54" s="2"/>
      <c r="G54" s="2"/>
      <c r="H54" s="2"/>
      <c r="I54" s="2"/>
      <c r="J54" s="2"/>
      <c r="K54" s="2"/>
      <c r="L54" s="2"/>
      <c r="M54" s="2"/>
    </row>
  </sheetData>
  <hyperlinks>
    <hyperlink ref="C15" location="LBO!A1" tooltip="LBO" display="LBO" xr:uid="{26AC4844-9813-447C-A786-491144ED31A3}"/>
    <hyperlink ref="C51" r:id="rId1" xr:uid="{C9141C96-A14D-4AAB-9DFB-F79005416F91}"/>
    <hyperlink ref="C52" r:id="rId2" xr:uid="{F6DDD43A-43FC-4A19-B8F8-57706FD343AF}"/>
  </hyperlinks>
  <printOptions horizontalCentered="1"/>
  <pageMargins left="0.7" right="0.7" top="0.75" bottom="0.75" header="0.3" footer="0.3"/>
  <pageSetup scale="48" orientation="landscape" horizontalDpi="300" verticalDpi="300" r:id="rId3"/>
  <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heetPr>
  <dimension ref="A1:W1625"/>
  <sheetViews>
    <sheetView showGridLines="0" zoomScale="70" zoomScaleNormal="70" workbookViewId="0"/>
  </sheetViews>
  <sheetFormatPr defaultColWidth="9.1640625" defaultRowHeight="14.4" outlineLevelRow="1"/>
  <cols>
    <col min="1" max="1" width="2.71875" style="38" customWidth="1"/>
    <col min="2" max="22" width="11.71875" style="38" customWidth="1"/>
    <col min="23" max="16384" width="9.1640625" style="38"/>
  </cols>
  <sheetData>
    <row r="1" spans="1:22" s="1" customFormat="1" ht="50.1" customHeight="1">
      <c r="B1" s="8"/>
      <c r="C1" s="8"/>
      <c r="D1" s="8"/>
      <c r="E1" s="8"/>
      <c r="F1" s="8"/>
      <c r="G1" s="8"/>
      <c r="H1" s="8"/>
      <c r="I1" s="8"/>
      <c r="J1" s="8"/>
      <c r="K1" s="8"/>
      <c r="L1" s="8"/>
      <c r="M1" s="8"/>
      <c r="N1" s="8"/>
      <c r="O1" s="8"/>
      <c r="P1" s="8"/>
      <c r="Q1" s="8"/>
      <c r="R1" s="8"/>
      <c r="S1" s="8"/>
      <c r="T1" s="8"/>
      <c r="U1" s="8"/>
      <c r="V1" s="8"/>
    </row>
    <row r="2" spans="1:22" s="35" customFormat="1" ht="13.5" customHeight="1"/>
    <row r="3" spans="1:22" s="35" customFormat="1" ht="24" customHeight="1" thickBot="1">
      <c r="B3" s="36" t="s">
        <v>422</v>
      </c>
      <c r="V3" s="37"/>
    </row>
    <row r="4" spans="1:22" ht="2.5" customHeight="1">
      <c r="B4" s="39"/>
      <c r="C4" s="40"/>
      <c r="D4" s="40"/>
      <c r="E4" s="40"/>
      <c r="F4" s="40"/>
      <c r="G4" s="40"/>
      <c r="H4" s="40"/>
      <c r="I4" s="40"/>
      <c r="J4" s="40"/>
      <c r="K4" s="40"/>
      <c r="L4" s="40"/>
      <c r="M4" s="40"/>
      <c r="N4" s="40"/>
      <c r="O4" s="40"/>
      <c r="P4" s="40"/>
      <c r="Q4" s="40"/>
      <c r="R4" s="40"/>
      <c r="S4" s="40"/>
      <c r="T4" s="40"/>
      <c r="U4" s="40"/>
      <c r="V4" s="40"/>
    </row>
    <row r="5" spans="1:22" ht="13.5" customHeight="1" thickBot="1"/>
    <row r="6" spans="1:22" s="35" customFormat="1" ht="20.100000000000001" customHeight="1" thickTop="1">
      <c r="A6" s="41" t="s">
        <v>426</v>
      </c>
      <c r="B6" s="42" t="s">
        <v>639</v>
      </c>
      <c r="C6" s="43"/>
      <c r="D6" s="44"/>
      <c r="E6" s="44"/>
      <c r="F6" s="44"/>
      <c r="G6" s="44"/>
      <c r="H6" s="44"/>
      <c r="I6" s="44"/>
      <c r="J6" s="44"/>
      <c r="K6" s="44"/>
      <c r="L6" s="44"/>
      <c r="M6" s="44"/>
      <c r="N6" s="44"/>
      <c r="O6" s="44"/>
      <c r="P6" s="44"/>
      <c r="Q6" s="44"/>
      <c r="R6" s="44"/>
      <c r="S6" s="44"/>
      <c r="T6" s="44"/>
      <c r="U6" s="44"/>
      <c r="V6" s="44"/>
    </row>
    <row r="7" spans="1:22" s="35" customFormat="1" ht="13.5" customHeight="1" outlineLevel="1">
      <c r="B7" s="45" t="s">
        <v>0</v>
      </c>
    </row>
    <row r="8" spans="1:22" s="35" customFormat="1" ht="13.5" customHeight="1" outlineLevel="1"/>
    <row r="9" spans="1:22" s="35" customFormat="1" ht="13.5" customHeight="1" outlineLevel="1">
      <c r="B9" s="46" t="s">
        <v>638</v>
      </c>
      <c r="C9" s="47"/>
      <c r="D9" s="47"/>
      <c r="E9" s="47"/>
      <c r="F9" s="48"/>
      <c r="H9" s="46" t="s">
        <v>613</v>
      </c>
      <c r="I9" s="47"/>
      <c r="J9" s="47"/>
      <c r="K9" s="48"/>
      <c r="M9" s="46" t="s">
        <v>292</v>
      </c>
      <c r="N9" s="47"/>
      <c r="O9" s="47"/>
      <c r="P9" s="48"/>
      <c r="R9" s="46" t="s">
        <v>320</v>
      </c>
      <c r="S9" s="47"/>
      <c r="T9" s="47"/>
      <c r="U9" s="47"/>
      <c r="V9" s="48"/>
    </row>
    <row r="10" spans="1:22" s="35" customFormat="1" ht="13.5" customHeight="1" outlineLevel="1">
      <c r="B10" s="49"/>
      <c r="C10" s="49"/>
      <c r="D10" s="49"/>
      <c r="E10" s="49" t="s">
        <v>42</v>
      </c>
      <c r="F10" s="49" t="s">
        <v>43</v>
      </c>
      <c r="H10" s="38" t="str">
        <f>"Financing case – "&amp;M1245</f>
        <v>Financing case – LBO C</v>
      </c>
      <c r="I10" s="38"/>
      <c r="J10" s="38"/>
      <c r="K10" s="502">
        <v>6</v>
      </c>
      <c r="M10" s="38" t="s">
        <v>294</v>
      </c>
      <c r="N10" s="38"/>
      <c r="O10" s="38"/>
      <c r="P10" s="504">
        <v>12.81</v>
      </c>
      <c r="R10" s="38" t="s">
        <v>187</v>
      </c>
      <c r="S10" s="38"/>
      <c r="T10" s="38"/>
      <c r="U10" s="38"/>
      <c r="V10" s="506">
        <v>0.35</v>
      </c>
    </row>
    <row r="11" spans="1:22" s="35" customFormat="1" ht="13.5" customHeight="1" outlineLevel="1" thickBot="1">
      <c r="B11" s="50"/>
      <c r="C11" s="50"/>
      <c r="D11" s="50" t="s">
        <v>85</v>
      </c>
      <c r="E11" s="50" t="s">
        <v>19</v>
      </c>
      <c r="F11" s="50" t="s">
        <v>52</v>
      </c>
      <c r="H11" s="38" t="str">
        <f ca="1">"Operating case – "&amp;B1194</f>
        <v>Operating case – Analyst Case</v>
      </c>
      <c r="I11" s="38"/>
      <c r="J11" s="38"/>
      <c r="K11" s="503">
        <v>3</v>
      </c>
      <c r="M11" s="38" t="s">
        <v>293</v>
      </c>
      <c r="N11" s="38"/>
      <c r="O11" s="38"/>
      <c r="P11" s="505">
        <v>0.25</v>
      </c>
      <c r="R11" s="35" t="s">
        <v>484</v>
      </c>
      <c r="V11" s="507">
        <v>0</v>
      </c>
    </row>
    <row r="12" spans="1:22" s="35" customFormat="1" ht="13.5" customHeight="1" outlineLevel="1">
      <c r="M12" s="52" t="s">
        <v>133</v>
      </c>
      <c r="N12" s="52"/>
      <c r="O12" s="52"/>
      <c r="P12" s="53">
        <f>P10*(1+P11)</f>
        <v>16.012499999999999</v>
      </c>
    </row>
    <row r="13" spans="1:22" s="35" customFormat="1" ht="13.5" customHeight="1" outlineLevel="1">
      <c r="B13" s="38" t="s">
        <v>298</v>
      </c>
      <c r="C13" s="38"/>
      <c r="D13" s="54">
        <f t="shared" ref="D13:D27" ca="1" si="0">M1251</f>
        <v>82.188343471646988</v>
      </c>
      <c r="E13" s="55">
        <f t="shared" ref="E13:E28" ca="1" si="1">IFERROR(D13/$D$29,0)</f>
        <v>9.7002630466389031E-2</v>
      </c>
      <c r="F13" s="56">
        <f t="shared" ref="F13:F28" ca="1" si="2">D13/$O$36</f>
        <v>0.63316777837253557</v>
      </c>
      <c r="H13" s="46" t="s">
        <v>614</v>
      </c>
      <c r="I13" s="47"/>
      <c r="J13" s="47"/>
      <c r="K13" s="48"/>
      <c r="M13" s="38"/>
      <c r="N13" s="38"/>
      <c r="O13" s="38"/>
      <c r="P13" s="38"/>
      <c r="R13" s="46" t="s">
        <v>511</v>
      </c>
      <c r="S13" s="47"/>
      <c r="T13" s="47"/>
      <c r="U13" s="47"/>
      <c r="V13" s="48"/>
    </row>
    <row r="14" spans="1:22" s="35" customFormat="1" ht="13.5" customHeight="1" outlineLevel="1">
      <c r="B14" s="38" t="s">
        <v>528</v>
      </c>
      <c r="C14" s="38"/>
      <c r="D14" s="57">
        <f t="shared" si="0"/>
        <v>14.05946</v>
      </c>
      <c r="E14" s="58">
        <f t="shared" ca="1" si="1"/>
        <v>1.6593649967010928E-2</v>
      </c>
      <c r="F14" s="56">
        <f t="shared" si="2"/>
        <v>0.10831216054851507</v>
      </c>
      <c r="H14" s="38" t="s">
        <v>412</v>
      </c>
      <c r="I14" s="38"/>
      <c r="J14" s="38"/>
      <c r="K14" s="508">
        <v>10</v>
      </c>
      <c r="M14" s="38" t="s">
        <v>131</v>
      </c>
      <c r="N14" s="38"/>
      <c r="O14" s="38"/>
      <c r="P14" s="60">
        <f ca="1">J1162</f>
        <v>34.921999999999997</v>
      </c>
      <c r="R14" s="38" t="s">
        <v>489</v>
      </c>
      <c r="V14" s="507">
        <v>0</v>
      </c>
    </row>
    <row r="15" spans="1:22" s="61" customFormat="1" ht="13.5" customHeight="1" outlineLevel="1">
      <c r="B15" s="62" t="s">
        <v>26</v>
      </c>
      <c r="C15" s="38"/>
      <c r="D15" s="57">
        <f t="shared" si="0"/>
        <v>0</v>
      </c>
      <c r="E15" s="58">
        <f t="shared" ca="1" si="1"/>
        <v>0</v>
      </c>
      <c r="F15" s="56">
        <f t="shared" si="2"/>
        <v>0</v>
      </c>
      <c r="G15" s="63"/>
      <c r="H15" s="38" t="s">
        <v>413</v>
      </c>
      <c r="I15" s="38"/>
      <c r="J15" s="38"/>
      <c r="K15" s="509">
        <v>20</v>
      </c>
      <c r="M15" s="38" t="s">
        <v>530</v>
      </c>
      <c r="N15" s="38"/>
      <c r="O15" s="38"/>
      <c r="P15" s="65">
        <f>G1098</f>
        <v>1.288</v>
      </c>
      <c r="R15" s="35"/>
      <c r="S15" s="35"/>
      <c r="T15" s="35"/>
      <c r="U15" s="35"/>
      <c r="V15" s="35"/>
    </row>
    <row r="16" spans="1:22" s="35" customFormat="1" ht="13.5" customHeight="1" outlineLevel="1">
      <c r="B16" s="62" t="str">
        <f>B1254</f>
        <v>Term loan - A</v>
      </c>
      <c r="C16" s="38"/>
      <c r="D16" s="57">
        <f t="shared" si="0"/>
        <v>50</v>
      </c>
      <c r="E16" s="58">
        <f t="shared" ca="1" si="1"/>
        <v>5.9012401496966918E-2</v>
      </c>
      <c r="F16" s="56">
        <f t="shared" si="2"/>
        <v>0.38519317437695</v>
      </c>
      <c r="G16" s="66"/>
      <c r="H16" s="52" t="s">
        <v>414</v>
      </c>
      <c r="I16" s="52"/>
      <c r="J16" s="52"/>
      <c r="K16" s="67">
        <f>SUM(K14:K15)</f>
        <v>30</v>
      </c>
      <c r="M16" s="38" t="s">
        <v>130</v>
      </c>
      <c r="N16" s="38"/>
      <c r="O16" s="38"/>
      <c r="P16" s="65">
        <f>N1320</f>
        <v>0</v>
      </c>
      <c r="R16" s="38" t="s">
        <v>264</v>
      </c>
      <c r="S16" s="38"/>
      <c r="T16" s="38"/>
      <c r="V16" s="68">
        <f ca="1">P21</f>
        <v>565.75316499999997</v>
      </c>
    </row>
    <row r="17" spans="2:22" s="35" customFormat="1" ht="13.5" customHeight="1" outlineLevel="1">
      <c r="B17" s="62" t="str">
        <f t="shared" ref="B17:B27" si="3">B1255</f>
        <v>Term loan - B</v>
      </c>
      <c r="C17" s="38"/>
      <c r="D17" s="57">
        <f t="shared" si="0"/>
        <v>0</v>
      </c>
      <c r="E17" s="58">
        <f t="shared" ca="1" si="1"/>
        <v>0</v>
      </c>
      <c r="F17" s="56">
        <f t="shared" si="2"/>
        <v>0</v>
      </c>
      <c r="G17" s="69"/>
      <c r="M17" s="52" t="s">
        <v>132</v>
      </c>
      <c r="N17" s="52"/>
      <c r="O17" s="52"/>
      <c r="P17" s="70">
        <f ca="1">SUM(P14:P16)</f>
        <v>36.209999999999994</v>
      </c>
      <c r="R17" s="38" t="s">
        <v>265</v>
      </c>
      <c r="S17" s="38"/>
      <c r="T17" s="38"/>
      <c r="V17" s="510">
        <v>2.8299999999999999E-2</v>
      </c>
    </row>
    <row r="18" spans="2:22" s="35" customFormat="1" ht="13.5" customHeight="1" outlineLevel="1">
      <c r="B18" s="62" t="str">
        <f t="shared" si="3"/>
        <v>Senior note</v>
      </c>
      <c r="C18" s="38"/>
      <c r="D18" s="57">
        <f t="shared" si="0"/>
        <v>100</v>
      </c>
      <c r="E18" s="58">
        <f t="shared" ca="1" si="1"/>
        <v>0.11802480299393384</v>
      </c>
      <c r="F18" s="56">
        <f t="shared" si="2"/>
        <v>0.7703863487539</v>
      </c>
      <c r="G18" s="63"/>
      <c r="H18" s="46" t="s">
        <v>57</v>
      </c>
      <c r="I18" s="47"/>
      <c r="J18" s="47"/>
      <c r="K18" s="48"/>
      <c r="M18" s="38" t="s">
        <v>611</v>
      </c>
      <c r="N18" s="38"/>
      <c r="O18" s="38"/>
      <c r="P18" s="71">
        <f>P12</f>
        <v>16.012499999999999</v>
      </c>
      <c r="R18" s="52" t="s">
        <v>559</v>
      </c>
      <c r="S18" s="52"/>
      <c r="T18" s="52"/>
      <c r="U18" s="52"/>
      <c r="V18" s="72">
        <f ca="1">V16*V17</f>
        <v>16.010814569499999</v>
      </c>
    </row>
    <row r="19" spans="2:22" s="35" customFormat="1" ht="13.5" customHeight="1" outlineLevel="1">
      <c r="B19" s="62" t="str">
        <f t="shared" si="3"/>
        <v>Subordinated note</v>
      </c>
      <c r="C19" s="38"/>
      <c r="D19" s="57">
        <f t="shared" si="0"/>
        <v>50</v>
      </c>
      <c r="E19" s="58">
        <f t="shared" ca="1" si="1"/>
        <v>5.9012401496966918E-2</v>
      </c>
      <c r="F19" s="56">
        <f t="shared" si="2"/>
        <v>0.38519317437695</v>
      </c>
      <c r="G19" s="63"/>
      <c r="H19" s="38" t="s">
        <v>306</v>
      </c>
      <c r="I19" s="38"/>
      <c r="J19" s="38"/>
      <c r="K19" s="508">
        <v>100</v>
      </c>
      <c r="M19" s="73" t="s">
        <v>113</v>
      </c>
      <c r="N19" s="73"/>
      <c r="O19" s="73"/>
      <c r="P19" s="74">
        <f ca="1">P18*P17</f>
        <v>579.81262499999991</v>
      </c>
      <c r="R19" s="38" t="s">
        <v>237</v>
      </c>
      <c r="S19" s="38"/>
      <c r="T19" s="38"/>
      <c r="U19" s="38"/>
      <c r="V19" s="75">
        <f>tax</f>
        <v>0.35</v>
      </c>
    </row>
    <row r="20" spans="2:22" s="35" customFormat="1" ht="13.5" customHeight="1" outlineLevel="1">
      <c r="B20" s="62" t="str">
        <f t="shared" si="3"/>
        <v>Mezzanine</v>
      </c>
      <c r="C20" s="38"/>
      <c r="D20" s="57">
        <f t="shared" si="0"/>
        <v>0</v>
      </c>
      <c r="E20" s="58">
        <f t="shared" ca="1" si="1"/>
        <v>0</v>
      </c>
      <c r="F20" s="56">
        <f t="shared" si="2"/>
        <v>0</v>
      </c>
      <c r="G20" s="63"/>
      <c r="H20" s="38" t="s">
        <v>641</v>
      </c>
      <c r="I20" s="38"/>
      <c r="J20" s="38"/>
      <c r="K20" s="508">
        <v>0</v>
      </c>
      <c r="M20" s="38" t="s">
        <v>531</v>
      </c>
      <c r="N20" s="38"/>
      <c r="O20" s="38"/>
      <c r="P20" s="57">
        <f>-H1098</f>
        <v>-14.05946</v>
      </c>
      <c r="R20" s="52" t="s">
        <v>560</v>
      </c>
      <c r="S20" s="52"/>
      <c r="T20" s="52"/>
      <c r="U20" s="52"/>
      <c r="V20" s="72">
        <f ca="1">V18*V19</f>
        <v>5.6037850993249991</v>
      </c>
    </row>
    <row r="21" spans="2:22" s="35" customFormat="1" ht="13.5" customHeight="1" outlineLevel="1">
      <c r="B21" s="62" t="str">
        <f t="shared" si="3"/>
        <v>Seller note</v>
      </c>
      <c r="C21" s="38"/>
      <c r="D21" s="57">
        <f t="shared" si="0"/>
        <v>0</v>
      </c>
      <c r="E21" s="58">
        <f t="shared" ca="1" si="1"/>
        <v>0</v>
      </c>
      <c r="F21" s="56">
        <f t="shared" si="2"/>
        <v>0</v>
      </c>
      <c r="G21" s="63"/>
      <c r="H21" s="38"/>
      <c r="I21" s="38"/>
      <c r="J21" s="38"/>
      <c r="K21" s="51"/>
      <c r="M21" s="76" t="s">
        <v>264</v>
      </c>
      <c r="N21" s="76"/>
      <c r="O21" s="76"/>
      <c r="P21" s="77">
        <f ca="1">SUM(P19:P20)</f>
        <v>565.75316499999997</v>
      </c>
      <c r="R21" s="38" t="s">
        <v>563</v>
      </c>
      <c r="S21" s="38"/>
      <c r="T21" s="38"/>
      <c r="U21" s="38"/>
      <c r="V21" s="511">
        <v>15</v>
      </c>
    </row>
    <row r="22" spans="2:22" s="35" customFormat="1" ht="13.5" customHeight="1" outlineLevel="1">
      <c r="B22" s="62" t="str">
        <f t="shared" si="3"/>
        <v>Convertible bond</v>
      </c>
      <c r="D22" s="57">
        <f t="shared" si="0"/>
        <v>0</v>
      </c>
      <c r="E22" s="58">
        <f t="shared" ca="1" si="1"/>
        <v>0</v>
      </c>
      <c r="F22" s="56">
        <f t="shared" si="2"/>
        <v>0</v>
      </c>
      <c r="G22" s="78"/>
      <c r="H22" s="35" t="s">
        <v>295</v>
      </c>
      <c r="K22" s="512">
        <v>0</v>
      </c>
      <c r="M22" s="79" t="s">
        <v>119</v>
      </c>
      <c r="N22" s="80"/>
      <c r="O22" s="38"/>
      <c r="P22" s="508">
        <v>0</v>
      </c>
      <c r="R22" s="81" t="s">
        <v>561</v>
      </c>
      <c r="S22" s="81"/>
      <c r="T22" s="81"/>
      <c r="U22" s="81"/>
      <c r="V22" s="82">
        <f ca="1">V20*V21</f>
        <v>84.056776489874991</v>
      </c>
    </row>
    <row r="23" spans="2:22" s="35" customFormat="1" ht="13.5" customHeight="1" outlineLevel="1">
      <c r="B23" s="62" t="str">
        <f t="shared" si="3"/>
        <v>[Debt 8]</v>
      </c>
      <c r="D23" s="57">
        <f t="shared" si="0"/>
        <v>0</v>
      </c>
      <c r="E23" s="58">
        <f t="shared" ca="1" si="1"/>
        <v>0</v>
      </c>
      <c r="F23" s="56">
        <f t="shared" si="2"/>
        <v>0</v>
      </c>
      <c r="G23" s="78"/>
      <c r="M23" s="79" t="s">
        <v>118</v>
      </c>
      <c r="N23" s="38"/>
      <c r="O23" s="38"/>
      <c r="P23" s="57">
        <f>IF(T1300&gt;P12,E273,0)</f>
        <v>230</v>
      </c>
      <c r="U23" s="57"/>
      <c r="V23" s="56"/>
    </row>
    <row r="24" spans="2:22" s="35" customFormat="1" ht="13.5" customHeight="1" outlineLevel="1">
      <c r="B24" s="62" t="str">
        <f t="shared" si="3"/>
        <v>Preferred stock - A</v>
      </c>
      <c r="C24" s="38"/>
      <c r="D24" s="57">
        <f t="shared" si="0"/>
        <v>10</v>
      </c>
      <c r="E24" s="58">
        <f t="shared" ca="1" si="1"/>
        <v>1.1802480299393384E-2</v>
      </c>
      <c r="F24" s="56">
        <f t="shared" si="2"/>
        <v>7.7038634875390005E-2</v>
      </c>
      <c r="G24" s="78"/>
      <c r="H24" s="46" t="s">
        <v>55</v>
      </c>
      <c r="I24" s="47"/>
      <c r="J24" s="47"/>
      <c r="K24" s="48"/>
      <c r="M24" s="79" t="s">
        <v>117</v>
      </c>
      <c r="N24" s="38"/>
      <c r="O24" s="38"/>
      <c r="P24" s="83">
        <f ca="1">J287</f>
        <v>0</v>
      </c>
      <c r="R24" s="38" t="s">
        <v>291</v>
      </c>
      <c r="S24" s="38"/>
      <c r="T24" s="38"/>
      <c r="V24" s="84">
        <f ca="1">J1053</f>
        <v>0</v>
      </c>
    </row>
    <row r="25" spans="2:22" s="61" customFormat="1" ht="13.5" customHeight="1" outlineLevel="1">
      <c r="B25" s="62" t="str">
        <f t="shared" si="3"/>
        <v>Preferred stock - B</v>
      </c>
      <c r="C25" s="38"/>
      <c r="D25" s="57">
        <f t="shared" si="0"/>
        <v>0</v>
      </c>
      <c r="E25" s="58">
        <f t="shared" ca="1" si="1"/>
        <v>0</v>
      </c>
      <c r="F25" s="56">
        <f t="shared" si="2"/>
        <v>0</v>
      </c>
      <c r="G25" s="85"/>
      <c r="H25" s="38" t="s">
        <v>218</v>
      </c>
      <c r="I25" s="38"/>
      <c r="J25" s="38"/>
      <c r="K25" s="513">
        <v>44834</v>
      </c>
      <c r="M25" s="86" t="s">
        <v>120</v>
      </c>
      <c r="N25" s="52"/>
      <c r="O25" s="52"/>
      <c r="P25" s="87">
        <f ca="1">SUM(P22:P24)</f>
        <v>230</v>
      </c>
      <c r="R25" s="38" t="s">
        <v>562</v>
      </c>
      <c r="S25" s="38"/>
      <c r="T25" s="38"/>
      <c r="U25" s="35"/>
      <c r="V25" s="83">
        <f ca="1">MIN(V22,V24)</f>
        <v>0</v>
      </c>
    </row>
    <row r="26" spans="2:22" s="35" customFormat="1" ht="13.5" customHeight="1" outlineLevel="1">
      <c r="B26" s="62" t="str">
        <f t="shared" si="3"/>
        <v>Sponsor equity</v>
      </c>
      <c r="C26" s="38"/>
      <c r="D26" s="57">
        <f t="shared" ca="1" si="0"/>
        <v>520.71831193147796</v>
      </c>
      <c r="E26" s="58">
        <f t="shared" ca="1" si="1"/>
        <v>0.61457676181046472</v>
      </c>
      <c r="F26" s="56">
        <f t="shared" ca="1" si="2"/>
        <v>4.0115427905818573</v>
      </c>
      <c r="G26" s="78"/>
      <c r="H26" s="38" t="s">
        <v>191</v>
      </c>
      <c r="I26" s="38"/>
      <c r="J26" s="38"/>
      <c r="K26" s="513">
        <v>45016</v>
      </c>
      <c r="M26" s="88" t="s">
        <v>121</v>
      </c>
      <c r="N26" s="38"/>
      <c r="O26" s="38"/>
      <c r="P26" s="57">
        <f ca="1">-J247</f>
        <v>-182.18834347164699</v>
      </c>
    </row>
    <row r="27" spans="2:22" s="35" customFormat="1" ht="13.5" customHeight="1" outlineLevel="1">
      <c r="B27" s="62" t="str">
        <f t="shared" si="3"/>
        <v>Management equity</v>
      </c>
      <c r="D27" s="57">
        <f t="shared" si="0"/>
        <v>10</v>
      </c>
      <c r="E27" s="58">
        <f t="shared" ca="1" si="1"/>
        <v>1.1802480299393384E-2</v>
      </c>
      <c r="F27" s="56">
        <f t="shared" si="2"/>
        <v>7.7038634875390005E-2</v>
      </c>
      <c r="G27" s="78"/>
      <c r="H27" s="38" t="s">
        <v>192</v>
      </c>
      <c r="I27" s="38"/>
      <c r="J27" s="38"/>
      <c r="K27" s="513">
        <v>45063</v>
      </c>
      <c r="M27" s="52" t="s">
        <v>296</v>
      </c>
      <c r="N27" s="52"/>
      <c r="O27" s="52"/>
      <c r="P27" s="87">
        <f ca="1">SUM(P25:P26)</f>
        <v>47.811656528353012</v>
      </c>
      <c r="R27" s="46" t="s">
        <v>548</v>
      </c>
      <c r="S27" s="47"/>
      <c r="T27" s="47"/>
      <c r="U27" s="47"/>
      <c r="V27" s="48"/>
    </row>
    <row r="28" spans="2:22" s="35" customFormat="1" ht="13.5" customHeight="1" outlineLevel="1">
      <c r="B28" s="62" t="s">
        <v>620</v>
      </c>
      <c r="D28" s="57">
        <f ca="1">M1267</f>
        <v>10.313417909374998</v>
      </c>
      <c r="E28" s="58">
        <f t="shared" ca="1" si="1"/>
        <v>1.217239116948093E-2</v>
      </c>
      <c r="F28" s="56">
        <f t="shared" ca="1" si="2"/>
        <v>7.9453163663764856E-2</v>
      </c>
      <c r="G28" s="85"/>
      <c r="H28" s="38" t="s">
        <v>212</v>
      </c>
      <c r="I28" s="38"/>
      <c r="J28" s="38"/>
      <c r="K28" s="513">
        <v>45291</v>
      </c>
      <c r="M28" s="89" t="s">
        <v>129</v>
      </c>
      <c r="N28" s="90"/>
      <c r="O28" s="90"/>
      <c r="P28" s="91">
        <f ca="1">P19+P27</f>
        <v>627.62428152835287</v>
      </c>
      <c r="R28" s="38" t="s">
        <v>547</v>
      </c>
      <c r="S28" s="38"/>
      <c r="T28" s="38"/>
      <c r="U28" s="38"/>
      <c r="V28" s="84">
        <f ca="1">I51</f>
        <v>0</v>
      </c>
    </row>
    <row r="29" spans="2:22" s="35" customFormat="1" ht="13.5" customHeight="1" outlineLevel="1">
      <c r="B29" s="92" t="s">
        <v>341</v>
      </c>
      <c r="C29" s="92"/>
      <c r="D29" s="93">
        <f ca="1">SUM(D13:D28)</f>
        <v>847.27953331249989</v>
      </c>
      <c r="E29" s="94">
        <f ca="1">SUM(E13:E28)</f>
        <v>1</v>
      </c>
      <c r="F29" s="95">
        <f ca="1">SUM(F13:F28)</f>
        <v>6.527325860425254</v>
      </c>
      <c r="H29" s="38"/>
      <c r="I29" s="38"/>
      <c r="J29" s="38"/>
      <c r="K29" s="96"/>
      <c r="R29" s="38" t="s">
        <v>281</v>
      </c>
      <c r="V29" s="57">
        <f ca="1">MIN(0,V25-V24)</f>
        <v>0</v>
      </c>
    </row>
    <row r="30" spans="2:22" s="35" customFormat="1" ht="13.5" customHeight="1" outlineLevel="1">
      <c r="E30" s="97"/>
      <c r="H30" s="35" t="s">
        <v>213</v>
      </c>
      <c r="K30" s="96">
        <f>CHOOSE(MONTH(K25),1,1,1,2,2,2,3,3,3,4,4,4)</f>
        <v>3</v>
      </c>
      <c r="M30" s="46" t="s">
        <v>655</v>
      </c>
      <c r="N30" s="47"/>
      <c r="O30" s="47"/>
      <c r="P30" s="48"/>
      <c r="R30" s="52" t="s">
        <v>273</v>
      </c>
      <c r="S30" s="52"/>
      <c r="T30" s="52"/>
      <c r="U30" s="52"/>
      <c r="V30" s="67">
        <f ca="1">SUM(V28:V29)</f>
        <v>0</v>
      </c>
    </row>
    <row r="31" spans="2:22" s="35" customFormat="1" ht="13.5" customHeight="1" outlineLevel="1" thickBot="1">
      <c r="B31" s="62" t="str">
        <f>B1272</f>
        <v>Equity purchase price</v>
      </c>
      <c r="C31" s="38"/>
      <c r="D31" s="54">
        <f t="shared" ref="D31:D36" ca="1" si="4">M1272</f>
        <v>579.81262499999991</v>
      </c>
      <c r="E31" s="55">
        <f t="shared" ref="E31:E37" ca="1" si="5">IFERROR(D31/$D$38,0)</f>
        <v>0.68432270839020626</v>
      </c>
      <c r="F31" s="56">
        <f t="shared" ref="F31:F37" ca="1" si="6">D31/$O$36</f>
        <v>4.4667973113516419</v>
      </c>
      <c r="H31" s="38" t="s">
        <v>221</v>
      </c>
      <c r="K31" s="96">
        <f>CHOOSE(MONTH(K28),1,1,1,2,2,2,3,3,3,4,4,4)</f>
        <v>4</v>
      </c>
      <c r="M31" s="98"/>
      <c r="N31" s="98"/>
      <c r="O31" s="98" t="s">
        <v>46</v>
      </c>
      <c r="P31" s="98" t="s">
        <v>47</v>
      </c>
    </row>
    <row r="32" spans="2:22" s="35" customFormat="1" ht="13.5" customHeight="1" outlineLevel="1">
      <c r="B32" s="62" t="s">
        <v>343</v>
      </c>
      <c r="C32" s="38"/>
      <c r="D32" s="57">
        <f t="shared" si="4"/>
        <v>230</v>
      </c>
      <c r="E32" s="58">
        <f t="shared" ca="1" si="5"/>
        <v>0.27145704688604783</v>
      </c>
      <c r="F32" s="56">
        <f t="shared" si="6"/>
        <v>1.7718886021339701</v>
      </c>
      <c r="H32" s="38" t="s">
        <v>220</v>
      </c>
      <c r="K32" s="99">
        <f>YEAR(close)</f>
        <v>2023</v>
      </c>
      <c r="M32" s="35" t="s">
        <v>49</v>
      </c>
      <c r="O32" s="508">
        <f>SUM(E150:H150)</f>
        <v>438.005</v>
      </c>
      <c r="P32" s="56">
        <f ca="1">$P$28/O32</f>
        <v>1.4329157921219002</v>
      </c>
      <c r="R32" s="38" t="s">
        <v>546</v>
      </c>
      <c r="S32" s="38"/>
      <c r="T32" s="38"/>
      <c r="U32" s="38"/>
      <c r="V32" s="84">
        <f ca="1">J51</f>
        <v>43.559372811171869</v>
      </c>
    </row>
    <row r="33" spans="2:22" s="35" customFormat="1" ht="13.5" customHeight="1" outlineLevel="1">
      <c r="B33" s="62" t="str">
        <f>B1274</f>
        <v>Fund cash balance</v>
      </c>
      <c r="C33" s="38"/>
      <c r="D33" s="57">
        <f t="shared" si="4"/>
        <v>0</v>
      </c>
      <c r="E33" s="58">
        <f t="shared" ca="1" si="5"/>
        <v>0</v>
      </c>
      <c r="F33" s="56">
        <f t="shared" si="6"/>
        <v>0</v>
      </c>
      <c r="H33" s="38" t="s">
        <v>219</v>
      </c>
      <c r="K33" s="101">
        <f>IF(K31&gt;=K30,DATE(K32+1,MONTH(K25),DAY(K25)),DATE(K32,MONTH(K25),DAY(K25)))</f>
        <v>45565</v>
      </c>
      <c r="M33" s="35" t="str">
        <f>"FY"&amp;VALUE(TEXT(K25,"yy")+1)&amp;" PF sales"</f>
        <v>FY23 PF sales</v>
      </c>
      <c r="O33" s="102">
        <f>M150</f>
        <v>351</v>
      </c>
      <c r="P33" s="56">
        <f ca="1">$P$28/O33</f>
        <v>1.7881033661776435</v>
      </c>
      <c r="R33" s="38" t="s">
        <v>288</v>
      </c>
      <c r="S33" s="38"/>
      <c r="T33" s="38"/>
      <c r="U33" s="38"/>
      <c r="V33" s="57">
        <f ca="1">V44*tax</f>
        <v>0</v>
      </c>
    </row>
    <row r="34" spans="2:22" s="35" customFormat="1" ht="13.5" customHeight="1" outlineLevel="1">
      <c r="B34" s="62" t="str">
        <f>B1275</f>
        <v>OID</v>
      </c>
      <c r="C34" s="38"/>
      <c r="D34" s="57">
        <f t="shared" si="4"/>
        <v>8</v>
      </c>
      <c r="E34" s="58">
        <f t="shared" ca="1" si="5"/>
        <v>9.4419842395147072E-3</v>
      </c>
      <c r="F34" s="56">
        <f t="shared" si="6"/>
        <v>6.1630907900312004E-2</v>
      </c>
      <c r="H34" s="38" t="s">
        <v>222</v>
      </c>
      <c r="I34" s="38"/>
      <c r="J34" s="38"/>
      <c r="K34" s="96">
        <f>ABS(INT(((YEAR(K33)-YEAR(K28))*12+MONTH(K33)-MONTH(K28))/3))</f>
        <v>3</v>
      </c>
      <c r="M34" s="35" t="str">
        <f>"FY"&amp;VALUE(TEXT(K25,"yy")+2)&amp;" PF sales"</f>
        <v>FY24 PF sales</v>
      </c>
      <c r="N34" s="61"/>
      <c r="O34" s="102">
        <f ca="1">N150</f>
        <v>470.5</v>
      </c>
      <c r="P34" s="56">
        <f ca="1">$P$28/O34</f>
        <v>1.3339517141941613</v>
      </c>
      <c r="R34" s="52" t="s">
        <v>272</v>
      </c>
      <c r="S34" s="52"/>
      <c r="T34" s="52"/>
      <c r="U34" s="52"/>
      <c r="V34" s="67">
        <f ca="1">SUM(V32:V33)</f>
        <v>43.559372811171869</v>
      </c>
    </row>
    <row r="35" spans="2:22" s="35" customFormat="1" ht="13.5" customHeight="1" outlineLevel="1">
      <c r="B35" s="62" t="str">
        <f>B1276</f>
        <v>Prepayment penalties</v>
      </c>
      <c r="D35" s="57">
        <f t="shared" si="4"/>
        <v>4.6000000000000005</v>
      </c>
      <c r="E35" s="58">
        <f t="shared" ca="1" si="5"/>
        <v>5.4291409377209571E-3</v>
      </c>
      <c r="F35" s="56">
        <f t="shared" si="6"/>
        <v>3.5437772042679408E-2</v>
      </c>
    </row>
    <row r="36" spans="2:22" s="35" customFormat="1" ht="13.5" customHeight="1" outlineLevel="1">
      <c r="B36" s="62" t="str">
        <f>B1277</f>
        <v>Financing fees</v>
      </c>
      <c r="C36" s="38"/>
      <c r="D36" s="57">
        <f t="shared" si="4"/>
        <v>6.8</v>
      </c>
      <c r="E36" s="58">
        <f t="shared" ca="1" si="5"/>
        <v>8.0256866035875001E-3</v>
      </c>
      <c r="F36" s="56">
        <f t="shared" si="6"/>
        <v>5.2386271715265199E-2</v>
      </c>
      <c r="M36" s="35" t="s">
        <v>52</v>
      </c>
      <c r="O36" s="509">
        <f>SUM(E154:H154)</f>
        <v>129.80500000000001</v>
      </c>
      <c r="P36" s="56">
        <f ca="1">$P$28/O36</f>
        <v>4.8351317863591756</v>
      </c>
      <c r="R36" s="46" t="s">
        <v>280</v>
      </c>
      <c r="S36" s="47"/>
      <c r="T36" s="47"/>
      <c r="U36" s="47"/>
      <c r="V36" s="48"/>
    </row>
    <row r="37" spans="2:22" s="35" customFormat="1" ht="13.5" customHeight="1" outlineLevel="1">
      <c r="B37" s="62" t="s">
        <v>621</v>
      </c>
      <c r="D37" s="57">
        <f ca="1">M1284</f>
        <v>18.066908312499997</v>
      </c>
      <c r="E37" s="58">
        <f t="shared" ca="1" si="5"/>
        <v>2.1323432942922778E-2</v>
      </c>
      <c r="F37" s="56">
        <f t="shared" ca="1" si="6"/>
        <v>0.13918499528138359</v>
      </c>
      <c r="M37" s="35" t="str">
        <f>"FY"&amp;VALUE(TEXT(K25,"yy")+1)&amp;" PF EBITDA"</f>
        <v>FY23 PF EBITDA</v>
      </c>
      <c r="O37" s="57">
        <f ca="1">M154</f>
        <v>94.874999999999972</v>
      </c>
      <c r="P37" s="56">
        <f ca="1">$P$28/O37</f>
        <v>6.615275694633497</v>
      </c>
      <c r="R37" s="38" t="s">
        <v>287</v>
      </c>
      <c r="V37" s="505">
        <v>0</v>
      </c>
    </row>
    <row r="38" spans="2:22" s="35" customFormat="1" ht="13.5" customHeight="1" outlineLevel="1">
      <c r="B38" s="104" t="s">
        <v>342</v>
      </c>
      <c r="C38" s="104"/>
      <c r="D38" s="105">
        <f ca="1">SUM(D31:D37)</f>
        <v>847.27953331249989</v>
      </c>
      <c r="E38" s="94">
        <f t="shared" ref="E38:F38" ca="1" si="7">SUM(E31:E37)</f>
        <v>1</v>
      </c>
      <c r="F38" s="95">
        <f t="shared" ca="1" si="7"/>
        <v>6.5273258604252522</v>
      </c>
      <c r="M38" s="35" t="str">
        <f>"FY"&amp;VALUE(TEXT(K25,"yy")+2)&amp;" PF EBITDA"</f>
        <v>FY24 PF EBITDA</v>
      </c>
      <c r="O38" s="57">
        <f ca="1">N154</f>
        <v>155.90000000000003</v>
      </c>
      <c r="P38" s="56">
        <f ca="1">$P$28/O38</f>
        <v>4.0258132234018777</v>
      </c>
    </row>
    <row r="39" spans="2:22" s="35" customFormat="1" ht="13.5" customHeight="1" outlineLevel="1">
      <c r="D39" s="106"/>
      <c r="R39" s="38" t="s">
        <v>264</v>
      </c>
      <c r="S39" s="38"/>
      <c r="T39" s="38"/>
      <c r="U39" s="38"/>
      <c r="V39" s="54">
        <f ca="1">P21</f>
        <v>565.75316499999997</v>
      </c>
    </row>
    <row r="40" spans="2:22" s="35" customFormat="1" ht="13.5" customHeight="1" outlineLevel="1">
      <c r="B40" s="46" t="s">
        <v>542</v>
      </c>
      <c r="C40" s="47"/>
      <c r="D40" s="47"/>
      <c r="E40" s="47"/>
      <c r="F40" s="47"/>
      <c r="G40" s="47"/>
      <c r="H40" s="47"/>
      <c r="I40" s="47"/>
      <c r="J40" s="47"/>
      <c r="K40" s="48"/>
      <c r="M40" s="46" t="s">
        <v>319</v>
      </c>
      <c r="N40" s="47"/>
      <c r="O40" s="47"/>
      <c r="P40" s="48"/>
      <c r="R40" s="38" t="s">
        <v>721</v>
      </c>
      <c r="V40" s="57">
        <f ca="1">J287</f>
        <v>0</v>
      </c>
    </row>
    <row r="41" spans="2:22" s="35" customFormat="1" ht="13.5" customHeight="1" outlineLevel="1">
      <c r="B41" s="38" t="s">
        <v>543</v>
      </c>
      <c r="C41" s="38"/>
      <c r="E41" s="38"/>
      <c r="F41" s="38"/>
      <c r="G41" s="505">
        <v>0.25</v>
      </c>
      <c r="H41" s="38"/>
      <c r="I41" s="38"/>
      <c r="J41" s="38"/>
      <c r="K41" s="38"/>
      <c r="M41" s="38" t="s">
        <v>318</v>
      </c>
      <c r="N41" s="107"/>
      <c r="O41" s="107"/>
      <c r="P41" s="503">
        <v>1</v>
      </c>
      <c r="R41" s="38" t="s">
        <v>282</v>
      </c>
      <c r="S41" s="38"/>
      <c r="T41" s="38"/>
      <c r="U41" s="38"/>
      <c r="V41" s="57">
        <f ca="1">(J286-J262)*LBO</f>
        <v>-127.93176144375002</v>
      </c>
    </row>
    <row r="42" spans="2:22" s="35" customFormat="1" ht="13.5" customHeight="1" outlineLevel="1">
      <c r="B42" s="38"/>
      <c r="C42" s="38"/>
      <c r="E42" s="38"/>
      <c r="F42" s="38"/>
      <c r="G42" s="51"/>
      <c r="H42" s="38"/>
      <c r="I42" s="38"/>
      <c r="J42" s="38"/>
      <c r="K42" s="38"/>
      <c r="M42" s="38" t="s">
        <v>317</v>
      </c>
      <c r="O42" s="107"/>
      <c r="P42" s="502">
        <v>4</v>
      </c>
      <c r="R42" s="52" t="s">
        <v>114</v>
      </c>
      <c r="S42" s="52"/>
      <c r="T42" s="52"/>
      <c r="U42" s="52"/>
      <c r="V42" s="87">
        <f ca="1">SUM(V39:V41)</f>
        <v>437.82140355624995</v>
      </c>
    </row>
    <row r="43" spans="2:22" s="35" customFormat="1" ht="13.5" customHeight="1" outlineLevel="1">
      <c r="B43" s="108"/>
      <c r="C43" s="108"/>
      <c r="D43" s="108"/>
      <c r="E43" s="108"/>
      <c r="F43" s="109" t="s">
        <v>556</v>
      </c>
      <c r="G43" s="109" t="s">
        <v>557</v>
      </c>
      <c r="H43" s="109" t="s">
        <v>557</v>
      </c>
      <c r="I43" s="109" t="s">
        <v>553</v>
      </c>
      <c r="J43" s="109" t="s">
        <v>555</v>
      </c>
      <c r="K43" s="109" t="s">
        <v>549</v>
      </c>
      <c r="M43" s="38" t="s">
        <v>643</v>
      </c>
      <c r="O43" s="107"/>
      <c r="P43" s="514">
        <v>5</v>
      </c>
      <c r="R43" s="110" t="s">
        <v>284</v>
      </c>
      <c r="V43" s="57">
        <f ca="1">-J258*LBO</f>
        <v>-61.094000000000001</v>
      </c>
    </row>
    <row r="44" spans="2:22" s="35" customFormat="1" ht="13.5" customHeight="1" outlineLevel="1" thickBot="1">
      <c r="B44" s="111" t="s">
        <v>544</v>
      </c>
      <c r="C44" s="98"/>
      <c r="D44" s="98"/>
      <c r="E44" s="98" t="s">
        <v>545</v>
      </c>
      <c r="F44" s="98" t="s">
        <v>195</v>
      </c>
      <c r="G44" s="98" t="s">
        <v>195</v>
      </c>
      <c r="H44" s="98" t="s">
        <v>558</v>
      </c>
      <c r="I44" s="98" t="s">
        <v>554</v>
      </c>
      <c r="J44" s="98" t="s">
        <v>554</v>
      </c>
      <c r="K44" s="98" t="s">
        <v>550</v>
      </c>
      <c r="M44" s="38" t="s">
        <v>644</v>
      </c>
      <c r="O44" s="107"/>
      <c r="P44" s="514">
        <v>14</v>
      </c>
      <c r="R44" s="110" t="s">
        <v>286</v>
      </c>
      <c r="V44" s="57">
        <f ca="1">-J259*V37*LBO</f>
        <v>0</v>
      </c>
    </row>
    <row r="45" spans="2:22" s="35" customFormat="1" ht="13.5" customHeight="1" outlineLevel="1">
      <c r="B45" s="547" t="s">
        <v>86</v>
      </c>
      <c r="C45" s="38"/>
      <c r="D45" s="38"/>
      <c r="E45" s="515">
        <v>1</v>
      </c>
      <c r="F45" s="84">
        <f ca="1">J253</f>
        <v>190.98593064667293</v>
      </c>
      <c r="G45" s="508">
        <f ca="1">F45+15</f>
        <v>205.98593064667293</v>
      </c>
      <c r="H45" s="84">
        <f ca="1">(G45-F45)*LBO</f>
        <v>15</v>
      </c>
      <c r="I45" s="84">
        <f t="shared" ref="I45:I50" ca="1" si="8">MAX(0,H45*CHOOSE(E45+1,1,-1))*tax</f>
        <v>0</v>
      </c>
      <c r="J45" s="84">
        <f t="shared" ref="J45:J50" ca="1" si="9">MAX(0,H45*CHOOSE(E45+1,-1,1))*tax</f>
        <v>5.25</v>
      </c>
      <c r="K45" s="509">
        <v>7</v>
      </c>
      <c r="R45" s="88" t="s">
        <v>285</v>
      </c>
      <c r="S45" s="38"/>
      <c r="T45" s="38"/>
      <c r="U45" s="38"/>
      <c r="V45" s="57">
        <f ca="1">SUMIF(E45:E50,1,H45:H50)-SUMIF(E45:E50,0,H45:H50)</f>
        <v>124.45535088906249</v>
      </c>
    </row>
    <row r="46" spans="2:22" s="35" customFormat="1" ht="13.5" customHeight="1" outlineLevel="1">
      <c r="B46" s="547" t="s">
        <v>277</v>
      </c>
      <c r="C46" s="38"/>
      <c r="D46" s="38"/>
      <c r="E46" s="515">
        <v>1</v>
      </c>
      <c r="F46" s="509">
        <v>0</v>
      </c>
      <c r="G46" s="83">
        <f ca="1">H46-F46</f>
        <v>109.45535088906249</v>
      </c>
      <c r="H46" s="113">
        <f ca="1">G41*V42*LBO</f>
        <v>109.45535088906249</v>
      </c>
      <c r="I46" s="83">
        <f t="shared" ca="1" si="8"/>
        <v>0</v>
      </c>
      <c r="J46" s="83">
        <f t="shared" ca="1" si="9"/>
        <v>38.309372811171869</v>
      </c>
      <c r="K46" s="509">
        <v>5</v>
      </c>
      <c r="M46" s="46" t="s">
        <v>345</v>
      </c>
      <c r="N46" s="47"/>
      <c r="O46" s="47"/>
      <c r="P46" s="48"/>
      <c r="R46" s="88" t="s">
        <v>272</v>
      </c>
      <c r="S46" s="38"/>
      <c r="T46" s="38"/>
      <c r="U46" s="38"/>
      <c r="V46" s="57">
        <f ca="1">-V34</f>
        <v>-43.559372811171869</v>
      </c>
    </row>
    <row r="47" spans="2:22" s="35" customFormat="1" ht="13.5" customHeight="1" outlineLevel="1">
      <c r="B47" s="547" t="s">
        <v>274</v>
      </c>
      <c r="C47" s="38"/>
      <c r="D47" s="38"/>
      <c r="E47" s="515">
        <v>1</v>
      </c>
      <c r="F47" s="509">
        <v>0</v>
      </c>
      <c r="G47" s="509">
        <v>0</v>
      </c>
      <c r="H47" s="83">
        <f>(G47-F47)*LBO</f>
        <v>0</v>
      </c>
      <c r="I47" s="83">
        <f t="shared" si="8"/>
        <v>0</v>
      </c>
      <c r="J47" s="83">
        <f t="shared" si="9"/>
        <v>0</v>
      </c>
      <c r="K47" s="509">
        <v>0</v>
      </c>
      <c r="M47" s="38" t="s">
        <v>334</v>
      </c>
      <c r="N47" s="38"/>
      <c r="O47" s="38"/>
      <c r="P47" s="516">
        <v>0.86</v>
      </c>
      <c r="R47" s="88" t="s">
        <v>273</v>
      </c>
      <c r="S47" s="38"/>
      <c r="T47" s="38"/>
      <c r="U47" s="38"/>
      <c r="V47" s="57">
        <f ca="1">V30</f>
        <v>0</v>
      </c>
    </row>
    <row r="48" spans="2:22" s="35" customFormat="1" ht="13.5" customHeight="1" outlineLevel="1">
      <c r="B48" s="547" t="s">
        <v>275</v>
      </c>
      <c r="C48" s="38"/>
      <c r="D48" s="38"/>
      <c r="E48" s="515">
        <v>0</v>
      </c>
      <c r="F48" s="509">
        <v>0</v>
      </c>
      <c r="G48" s="509">
        <v>0</v>
      </c>
      <c r="H48" s="83">
        <f>(G48-F48)*LBO</f>
        <v>0</v>
      </c>
      <c r="I48" s="83">
        <f t="shared" si="8"/>
        <v>0</v>
      </c>
      <c r="J48" s="83">
        <f t="shared" si="9"/>
        <v>0</v>
      </c>
      <c r="K48" s="509">
        <v>0</v>
      </c>
      <c r="M48" s="38" t="s">
        <v>333</v>
      </c>
      <c r="N48" s="38"/>
      <c r="O48" s="38"/>
      <c r="P48" s="517">
        <v>0.04</v>
      </c>
      <c r="R48" s="81" t="s">
        <v>283</v>
      </c>
      <c r="S48" s="81"/>
      <c r="T48" s="81"/>
      <c r="U48" s="81"/>
      <c r="V48" s="114">
        <f ca="1">SUM(V43:V47)</f>
        <v>19.801978077890617</v>
      </c>
    </row>
    <row r="49" spans="1:22" s="35" customFormat="1" ht="13.5" customHeight="1" outlineLevel="1">
      <c r="B49" s="547" t="s">
        <v>276</v>
      </c>
      <c r="C49" s="38"/>
      <c r="D49" s="38"/>
      <c r="E49" s="515">
        <v>0</v>
      </c>
      <c r="F49" s="509">
        <v>0</v>
      </c>
      <c r="G49" s="509">
        <v>0</v>
      </c>
      <c r="H49" s="83">
        <f>(G49-F49)*LBO</f>
        <v>0</v>
      </c>
      <c r="I49" s="83">
        <f t="shared" si="8"/>
        <v>0</v>
      </c>
      <c r="J49" s="83">
        <f t="shared" si="9"/>
        <v>0</v>
      </c>
      <c r="K49" s="509">
        <v>0</v>
      </c>
      <c r="M49" s="38" t="s">
        <v>421</v>
      </c>
      <c r="P49" s="517">
        <v>0.12</v>
      </c>
      <c r="R49" s="81" t="s">
        <v>290</v>
      </c>
      <c r="S49" s="81"/>
      <c r="T49" s="81"/>
      <c r="U49" s="81"/>
      <c r="V49" s="115">
        <f ca="1">V42-V48</f>
        <v>418.01942547835932</v>
      </c>
    </row>
    <row r="50" spans="1:22" s="35" customFormat="1" ht="13.5" customHeight="1" outlineLevel="1">
      <c r="B50" s="547" t="s">
        <v>278</v>
      </c>
      <c r="C50" s="38"/>
      <c r="D50" s="38"/>
      <c r="E50" s="515">
        <v>0</v>
      </c>
      <c r="F50" s="509">
        <v>0</v>
      </c>
      <c r="G50" s="509">
        <v>0</v>
      </c>
      <c r="H50" s="83">
        <f>(G50-F50)*LBO</f>
        <v>0</v>
      </c>
      <c r="I50" s="83">
        <f t="shared" si="8"/>
        <v>0</v>
      </c>
      <c r="J50" s="83">
        <f t="shared" si="9"/>
        <v>0</v>
      </c>
      <c r="K50" s="509">
        <v>0</v>
      </c>
      <c r="M50" s="38" t="s">
        <v>339</v>
      </c>
      <c r="P50" s="503">
        <v>1</v>
      </c>
      <c r="R50" s="38" t="s">
        <v>289</v>
      </c>
      <c r="S50" s="38"/>
      <c r="T50" s="38"/>
      <c r="U50" s="38"/>
      <c r="V50" s="57">
        <f ca="1">MAX(0,-V49)</f>
        <v>0</v>
      </c>
    </row>
    <row r="51" spans="1:22" s="35" customFormat="1" ht="13.5" customHeight="1" outlineLevel="1">
      <c r="B51" s="52" t="s">
        <v>19</v>
      </c>
      <c r="C51" s="116"/>
      <c r="D51" s="116"/>
      <c r="E51" s="116"/>
      <c r="F51" s="117"/>
      <c r="G51" s="117"/>
      <c r="H51" s="117"/>
      <c r="I51" s="67">
        <f ca="1">SUM(I45:OFFSET(I51,-1,0))</f>
        <v>0</v>
      </c>
      <c r="J51" s="67">
        <f ca="1">SUM(J45:OFFSET(J51,-1,0))</f>
        <v>43.559372811171869</v>
      </c>
      <c r="K51" s="116"/>
      <c r="R51" s="104" t="s">
        <v>115</v>
      </c>
      <c r="S51" s="118"/>
      <c r="T51" s="118"/>
      <c r="U51" s="118"/>
      <c r="V51" s="105">
        <f ca="1">SUM(V49:V50)</f>
        <v>418.01942547835932</v>
      </c>
    </row>
    <row r="52" spans="1:22" s="35" customFormat="1" ht="13.5" customHeight="1" outlineLevel="1">
      <c r="M52" s="46" t="s">
        <v>362</v>
      </c>
      <c r="N52" s="47"/>
      <c r="O52" s="47"/>
      <c r="P52" s="48"/>
    </row>
    <row r="53" spans="1:22" s="35" customFormat="1" ht="13.5" customHeight="1" outlineLevel="1">
      <c r="M53" s="38" t="s">
        <v>126</v>
      </c>
      <c r="N53" s="38"/>
      <c r="O53" s="38"/>
      <c r="P53" s="119" t="b">
        <f ca="1">AND(COUNTIF(G1287:M1287,"&lt;&gt;0")=0,ROUND(D29-D38,9)=0)</f>
        <v>1</v>
      </c>
      <c r="Q53" s="102"/>
      <c r="R53" s="46" t="s">
        <v>111</v>
      </c>
      <c r="S53" s="47"/>
      <c r="T53" s="47"/>
      <c r="U53" s="47"/>
      <c r="V53" s="48"/>
    </row>
    <row r="54" spans="1:22" s="35" customFormat="1" ht="13.5" customHeight="1" outlineLevel="1">
      <c r="M54" s="38" t="s">
        <v>127</v>
      </c>
      <c r="N54" s="38"/>
      <c r="O54" s="38"/>
      <c r="P54" s="119" t="b">
        <f ca="1">COUNTIF(E296:V296,"&lt;&gt;0")=0</f>
        <v>1</v>
      </c>
      <c r="R54" s="35" t="s">
        <v>116</v>
      </c>
      <c r="V54" s="545" t="s">
        <v>552</v>
      </c>
    </row>
    <row r="55" spans="1:22" s="35" customFormat="1" ht="13.5" customHeight="1" outlineLevel="1">
      <c r="M55" s="38" t="s">
        <v>720</v>
      </c>
      <c r="N55" s="38"/>
      <c r="O55" s="38"/>
      <c r="P55" s="119" t="b">
        <f ca="1">MAX(L274:V274)&lt;=revolver</f>
        <v>1</v>
      </c>
      <c r="Q55" s="120"/>
      <c r="V55" s="546" t="s">
        <v>551</v>
      </c>
    </row>
    <row r="56" spans="1:22" s="35" customFormat="1" ht="13.5" customHeight="1" outlineLevel="1">
      <c r="M56" s="38" t="s">
        <v>128</v>
      </c>
      <c r="N56" s="38"/>
      <c r="O56" s="38"/>
      <c r="P56" s="119" t="str">
        <f ca="1">IF(AND(P53:P55),"","Model contains errors")</f>
        <v/>
      </c>
      <c r="V56" s="546" t="s">
        <v>112</v>
      </c>
    </row>
    <row r="57" spans="1:22" s="35" customFormat="1" ht="5.0999999999999996" customHeight="1" outlineLevel="1" thickBot="1">
      <c r="B57" s="121"/>
      <c r="C57" s="121"/>
      <c r="D57" s="121"/>
      <c r="E57" s="121"/>
      <c r="F57" s="121"/>
      <c r="G57" s="121"/>
      <c r="H57" s="121"/>
      <c r="I57" s="121"/>
      <c r="J57" s="121"/>
      <c r="K57" s="121"/>
      <c r="L57" s="121"/>
      <c r="M57" s="121"/>
      <c r="N57" s="121"/>
      <c r="O57" s="121"/>
      <c r="P57" s="121"/>
      <c r="Q57" s="121"/>
      <c r="R57" s="121"/>
      <c r="S57" s="121"/>
      <c r="T57" s="121"/>
      <c r="U57" s="121"/>
      <c r="V57" s="121"/>
    </row>
    <row r="58" spans="1:22" s="35" customFormat="1" ht="13.5" customHeight="1" outlineLevel="1"/>
    <row r="59" spans="1:22" s="35" customFormat="1" ht="13.5" customHeight="1" outlineLevel="1" thickBot="1"/>
    <row r="60" spans="1:22" s="35" customFormat="1" ht="20.100000000000001" customHeight="1" thickTop="1">
      <c r="A60" s="41" t="s">
        <v>426</v>
      </c>
      <c r="B60" s="42" t="s">
        <v>56</v>
      </c>
      <c r="C60" s="43"/>
      <c r="D60" s="44"/>
      <c r="E60" s="44"/>
      <c r="F60" s="44"/>
      <c r="G60" s="44"/>
      <c r="H60" s="44"/>
      <c r="I60" s="44"/>
      <c r="J60" s="44"/>
      <c r="K60" s="44"/>
      <c r="L60" s="44"/>
      <c r="M60" s="44"/>
      <c r="N60" s="44"/>
      <c r="O60" s="44"/>
      <c r="P60" s="44"/>
      <c r="Q60" s="44"/>
      <c r="R60" s="44"/>
      <c r="S60" s="44"/>
      <c r="T60" s="44"/>
      <c r="U60" s="44"/>
      <c r="V60" s="44"/>
    </row>
    <row r="61" spans="1:22" ht="13.5" customHeight="1" outlineLevel="1">
      <c r="B61" s="45"/>
      <c r="V61" s="122" t="str">
        <f ca="1">err_msg</f>
        <v/>
      </c>
    </row>
    <row r="62" spans="1:22" s="35" customFormat="1" ht="13.5" customHeight="1" outlineLevel="1">
      <c r="B62" s="123"/>
      <c r="C62" s="123"/>
      <c r="D62" s="124"/>
      <c r="E62" s="38"/>
      <c r="F62" s="38"/>
      <c r="G62" s="38"/>
      <c r="H62" s="38"/>
      <c r="I62" s="38"/>
      <c r="J62" s="124"/>
      <c r="K62" s="125"/>
      <c r="L62" s="126" t="s">
        <v>58</v>
      </c>
      <c r="M62" s="126" t="str">
        <f>M$144</f>
        <v>3 Quarters</v>
      </c>
      <c r="N62" s="127" t="str">
        <f>N$144</f>
        <v>Fiscal Years Ending September 30,</v>
      </c>
      <c r="O62" s="128"/>
      <c r="P62" s="128"/>
      <c r="Q62" s="128"/>
      <c r="R62" s="128"/>
      <c r="S62" s="128"/>
      <c r="T62" s="128"/>
      <c r="U62" s="128"/>
      <c r="V62" s="128"/>
    </row>
    <row r="63" spans="1:22" s="35" customFormat="1" ht="13.5" customHeight="1" outlineLevel="1">
      <c r="B63" s="123"/>
      <c r="C63" s="123"/>
      <c r="D63" s="124"/>
      <c r="E63" s="38"/>
      <c r="F63" s="38"/>
      <c r="G63" s="38"/>
      <c r="H63" s="38"/>
      <c r="I63" s="38"/>
      <c r="J63" s="124"/>
      <c r="K63" s="129"/>
      <c r="L63" s="109" t="s">
        <v>409</v>
      </c>
      <c r="M63" s="109" t="str">
        <f t="shared" ref="M63" si="10">M$145</f>
        <v>Ending</v>
      </c>
      <c r="N63" s="109">
        <f>N$145</f>
        <v>2</v>
      </c>
      <c r="O63" s="109">
        <f t="shared" ref="O63:V63" si="11">O$145</f>
        <v>3</v>
      </c>
      <c r="P63" s="109">
        <f t="shared" si="11"/>
        <v>4</v>
      </c>
      <c r="Q63" s="109">
        <f t="shared" si="11"/>
        <v>5</v>
      </c>
      <c r="R63" s="109">
        <f t="shared" si="11"/>
        <v>6</v>
      </c>
      <c r="S63" s="109">
        <f t="shared" si="11"/>
        <v>7</v>
      </c>
      <c r="T63" s="109">
        <f t="shared" si="11"/>
        <v>8</v>
      </c>
      <c r="U63" s="109">
        <f t="shared" si="11"/>
        <v>9</v>
      </c>
      <c r="V63" s="109">
        <f t="shared" si="11"/>
        <v>10</v>
      </c>
    </row>
    <row r="64" spans="1:22" s="35" customFormat="1" ht="13.5" customHeight="1" outlineLevel="1" thickBot="1">
      <c r="B64" s="130" t="s">
        <v>246</v>
      </c>
      <c r="C64" s="131"/>
      <c r="D64" s="131"/>
      <c r="E64" s="132"/>
      <c r="F64" s="132"/>
      <c r="G64" s="132"/>
      <c r="H64" s="132"/>
      <c r="I64" s="132"/>
      <c r="J64" s="131"/>
      <c r="K64" s="131"/>
      <c r="L64" s="133">
        <f>close</f>
        <v>45291</v>
      </c>
      <c r="M64" s="133">
        <f t="shared" ref="M64" si="12">M$146</f>
        <v>45565</v>
      </c>
      <c r="N64" s="134">
        <f>N$146</f>
        <v>45930</v>
      </c>
      <c r="O64" s="134">
        <f t="shared" ref="O64:V64" si="13">O$146</f>
        <v>46295</v>
      </c>
      <c r="P64" s="134">
        <f t="shared" si="13"/>
        <v>46660</v>
      </c>
      <c r="Q64" s="134">
        <f t="shared" si="13"/>
        <v>47026</v>
      </c>
      <c r="R64" s="134">
        <f t="shared" si="13"/>
        <v>47391</v>
      </c>
      <c r="S64" s="134">
        <f t="shared" si="13"/>
        <v>47756</v>
      </c>
      <c r="T64" s="134">
        <f t="shared" si="13"/>
        <v>48121</v>
      </c>
      <c r="U64" s="134">
        <f t="shared" si="13"/>
        <v>48487</v>
      </c>
      <c r="V64" s="134">
        <f t="shared" si="13"/>
        <v>48852</v>
      </c>
    </row>
    <row r="65" spans="2:22" ht="5.0999999999999996" customHeight="1" outlineLevel="1">
      <c r="V65" s="135"/>
    </row>
    <row r="66" spans="2:22" s="35" customFormat="1" ht="13.5" customHeight="1" outlineLevel="1">
      <c r="B66" s="46" t="s">
        <v>677</v>
      </c>
      <c r="C66" s="47"/>
      <c r="D66" s="47"/>
      <c r="E66" s="47"/>
      <c r="F66" s="47"/>
      <c r="G66" s="47"/>
      <c r="H66" s="47"/>
      <c r="I66" s="47"/>
      <c r="J66" s="47"/>
      <c r="K66" s="47"/>
      <c r="L66" s="47"/>
      <c r="M66" s="47"/>
      <c r="N66" s="47"/>
      <c r="O66" s="47"/>
      <c r="P66" s="47"/>
      <c r="Q66" s="47"/>
      <c r="R66" s="47"/>
      <c r="S66" s="47"/>
      <c r="T66" s="47"/>
      <c r="U66" s="47"/>
      <c r="V66" s="48"/>
    </row>
    <row r="67" spans="2:22" ht="5.0999999999999996" customHeight="1" outlineLevel="1"/>
    <row r="68" spans="2:22" ht="13.5" customHeight="1" outlineLevel="1">
      <c r="B68" s="38" t="s">
        <v>21</v>
      </c>
      <c r="L68" s="507">
        <f>SUM(E154:H154)</f>
        <v>129.80500000000001</v>
      </c>
      <c r="M68" s="136">
        <f ca="1">M154/M148</f>
        <v>126.49999999999996</v>
      </c>
      <c r="N68" s="136">
        <f ca="1">N154/N148</f>
        <v>155.90000000000003</v>
      </c>
      <c r="O68" s="136">
        <f t="shared" ref="O68:V68" ca="1" si="14">O154/O148</f>
        <v>160.09999999999991</v>
      </c>
      <c r="P68" s="136">
        <f t="shared" ca="1" si="14"/>
        <v>161.26136025504778</v>
      </c>
      <c r="Q68" s="136">
        <f t="shared" ca="1" si="14"/>
        <v>162.43308759420017</v>
      </c>
      <c r="R68" s="136">
        <f t="shared" ca="1" si="14"/>
        <v>163.61527456103465</v>
      </c>
      <c r="S68" s="136">
        <f t="shared" ca="1" si="14"/>
        <v>164.80801452523522</v>
      </c>
      <c r="T68" s="136">
        <f t="shared" ca="1" si="14"/>
        <v>166.01140168996628</v>
      </c>
      <c r="U68" s="136">
        <f t="shared" ca="1" si="14"/>
        <v>167.22553109931346</v>
      </c>
      <c r="V68" s="136">
        <f t="shared" ca="1" si="14"/>
        <v>168.45049864578976</v>
      </c>
    </row>
    <row r="69" spans="2:22" ht="13.5" customHeight="1" outlineLevel="1">
      <c r="B69" s="38" t="s">
        <v>32</v>
      </c>
      <c r="L69" s="519">
        <f>SUM(E205:H205)</f>
        <v>20.571930646672914</v>
      </c>
      <c r="M69" s="137">
        <f t="shared" ref="M69:V69" ca="1" si="15">M205/M148</f>
        <v>17.000000000000004</v>
      </c>
      <c r="N69" s="137">
        <f t="shared" ca="1" si="15"/>
        <v>18</v>
      </c>
      <c r="O69" s="137">
        <f t="shared" ca="1" si="15"/>
        <v>18.999999999999996</v>
      </c>
      <c r="P69" s="137">
        <f t="shared" ca="1" si="15"/>
        <v>19.169606801275233</v>
      </c>
      <c r="Q69" s="137">
        <f t="shared" ca="1" si="15"/>
        <v>19.340727627131464</v>
      </c>
      <c r="R69" s="137">
        <f t="shared" ca="1" si="15"/>
        <v>19.513375992772165</v>
      </c>
      <c r="S69" s="137">
        <f t="shared" ca="1" si="15"/>
        <v>19.687565534046644</v>
      </c>
      <c r="T69" s="137">
        <f t="shared" ca="1" si="15"/>
        <v>19.863310008526977</v>
      </c>
      <c r="U69" s="137">
        <f t="shared" ca="1" si="15"/>
        <v>20.040623296594589</v>
      </c>
      <c r="V69" s="137">
        <f t="shared" ca="1" si="15"/>
        <v>20.219519402536559</v>
      </c>
    </row>
    <row r="70" spans="2:22" ht="13.5" customHeight="1" outlineLevel="1">
      <c r="B70" s="38" t="s">
        <v>207</v>
      </c>
      <c r="L70" s="519" t="s">
        <v>2</v>
      </c>
      <c r="M70" s="137">
        <f t="shared" ref="M70:V70" ca="1" si="16">-M325/M148</f>
        <v>-2.6073499654757861</v>
      </c>
      <c r="N70" s="137">
        <f t="shared" ca="1" si="16"/>
        <v>3.7902037907200992</v>
      </c>
      <c r="O70" s="137">
        <f t="shared" ca="1" si="16"/>
        <v>1.293487816307362</v>
      </c>
      <c r="P70" s="137">
        <f t="shared" ca="1" si="16"/>
        <v>0.41035585590583423</v>
      </c>
      <c r="Q70" s="137">
        <f t="shared" ca="1" si="16"/>
        <v>0.4140189687534388</v>
      </c>
      <c r="R70" s="137">
        <f t="shared" ca="1" si="16"/>
        <v>0.41771478101429693</v>
      </c>
      <c r="S70" s="137">
        <f t="shared" ca="1" si="16"/>
        <v>0.42144358458560305</v>
      </c>
      <c r="T70" s="137">
        <f t="shared" ca="1" si="16"/>
        <v>0.4252056739697565</v>
      </c>
      <c r="U70" s="137">
        <f t="shared" ca="1" si="16"/>
        <v>0.42900134629849163</v>
      </c>
      <c r="V70" s="137">
        <f t="shared" ca="1" si="16"/>
        <v>0.43283090135578561</v>
      </c>
    </row>
    <row r="71" spans="2:22" ht="13.5" customHeight="1" outlineLevel="1"/>
    <row r="72" spans="2:22" s="35" customFormat="1" ht="13.5" customHeight="1" outlineLevel="1">
      <c r="B72" s="46" t="s">
        <v>62</v>
      </c>
      <c r="C72" s="47"/>
      <c r="D72" s="47"/>
      <c r="E72" s="47"/>
      <c r="F72" s="47"/>
      <c r="G72" s="47"/>
      <c r="H72" s="47"/>
      <c r="I72" s="47"/>
      <c r="J72" s="47"/>
      <c r="K72" s="47"/>
      <c r="L72" s="47"/>
      <c r="M72" s="47"/>
      <c r="N72" s="47"/>
      <c r="O72" s="47"/>
      <c r="P72" s="47"/>
      <c r="Q72" s="47"/>
      <c r="R72" s="47"/>
      <c r="S72" s="47"/>
      <c r="T72" s="47"/>
      <c r="U72" s="47"/>
      <c r="V72" s="48"/>
    </row>
    <row r="73" spans="2:22" ht="5.0999999999999996" customHeight="1" outlineLevel="1"/>
    <row r="74" spans="2:22" ht="13.5" customHeight="1" outlineLevel="1">
      <c r="B74" s="62" t="s">
        <v>667</v>
      </c>
      <c r="L74" s="54">
        <f t="shared" ref="L74:V74" ca="1" si="17">ROUND(SUMPRODUCT(L273:L282,$G1300:$G1309),9)</f>
        <v>145</v>
      </c>
      <c r="M74" s="54">
        <f t="shared" ca="1" si="17"/>
        <v>95.9375</v>
      </c>
      <c r="N74" s="54">
        <f t="shared" ca="1" si="17"/>
        <v>97.1875</v>
      </c>
      <c r="O74" s="54">
        <f t="shared" ca="1" si="17"/>
        <v>98.4375</v>
      </c>
      <c r="P74" s="54">
        <f t="shared" ca="1" si="17"/>
        <v>99.6875</v>
      </c>
      <c r="Q74" s="54">
        <f t="shared" ca="1" si="17"/>
        <v>100</v>
      </c>
      <c r="R74" s="54">
        <f t="shared" ca="1" si="17"/>
        <v>100</v>
      </c>
      <c r="S74" s="54">
        <f t="shared" ca="1" si="17"/>
        <v>100</v>
      </c>
      <c r="T74" s="54">
        <f t="shared" ca="1" si="17"/>
        <v>0</v>
      </c>
      <c r="U74" s="54">
        <f t="shared" ca="1" si="17"/>
        <v>0</v>
      </c>
      <c r="V74" s="54">
        <f t="shared" ca="1" si="17"/>
        <v>0</v>
      </c>
    </row>
    <row r="75" spans="2:22" ht="13.5" customHeight="1" outlineLevel="1">
      <c r="B75" s="38" t="s">
        <v>208</v>
      </c>
      <c r="L75" s="57">
        <f t="shared" ref="L75:V75" ca="1" si="18">SUMIF($G1300:$G1309,0,L273:L282)</f>
        <v>47.5</v>
      </c>
      <c r="M75" s="57">
        <f t="shared" ca="1" si="18"/>
        <v>47.96875</v>
      </c>
      <c r="N75" s="57">
        <f t="shared" ca="1" si="18"/>
        <v>48.59375</v>
      </c>
      <c r="O75" s="57">
        <f t="shared" ca="1" si="18"/>
        <v>49.21875</v>
      </c>
      <c r="P75" s="57">
        <f t="shared" ca="1" si="18"/>
        <v>49.84375</v>
      </c>
      <c r="Q75" s="57">
        <f t="shared" ca="1" si="18"/>
        <v>50</v>
      </c>
      <c r="R75" s="57">
        <f t="shared" ca="1" si="18"/>
        <v>0</v>
      </c>
      <c r="S75" s="57">
        <f t="shared" ca="1" si="18"/>
        <v>0</v>
      </c>
      <c r="T75" s="57">
        <f t="shared" ca="1" si="18"/>
        <v>0</v>
      </c>
      <c r="U75" s="57">
        <f t="shared" ca="1" si="18"/>
        <v>0</v>
      </c>
      <c r="V75" s="57">
        <f t="shared" ca="1" si="18"/>
        <v>0</v>
      </c>
    </row>
    <row r="76" spans="2:22" ht="13.5" customHeight="1" outlineLevel="1">
      <c r="B76" s="38" t="s">
        <v>209</v>
      </c>
      <c r="L76" s="57">
        <f ca="1">L288+L289</f>
        <v>9.5</v>
      </c>
      <c r="M76" s="57">
        <f t="shared" ref="M76:V76" ca="1" si="19">M288+M289</f>
        <v>10.5875</v>
      </c>
      <c r="N76" s="57">
        <f ca="1">N288+N289</f>
        <v>12.156750000000001</v>
      </c>
      <c r="O76" s="57">
        <f t="shared" ca="1" si="19"/>
        <v>13.89931</v>
      </c>
      <c r="P76" s="57">
        <f t="shared" ca="1" si="19"/>
        <v>14.4772268</v>
      </c>
      <c r="Q76" s="57">
        <f t="shared" ca="1" si="19"/>
        <v>14.5084768</v>
      </c>
      <c r="R76" s="57">
        <f t="shared" ca="1" si="19"/>
        <v>14.5084768</v>
      </c>
      <c r="S76" s="57">
        <f t="shared" ca="1" si="19"/>
        <v>14.5084768</v>
      </c>
      <c r="T76" s="57">
        <f t="shared" ca="1" si="19"/>
        <v>14.5084768</v>
      </c>
      <c r="U76" s="57">
        <f t="shared" ca="1" si="19"/>
        <v>14.5084768</v>
      </c>
      <c r="V76" s="57">
        <f t="shared" ca="1" si="19"/>
        <v>14.5084768</v>
      </c>
    </row>
    <row r="77" spans="2:22" ht="13.5" customHeight="1" outlineLevel="1">
      <c r="B77" s="38" t="s">
        <v>160</v>
      </c>
      <c r="L77" s="57">
        <f t="shared" ref="L77:V77" ca="1" si="20">L287</f>
        <v>0</v>
      </c>
      <c r="M77" s="57">
        <f t="shared" ca="1" si="20"/>
        <v>0</v>
      </c>
      <c r="N77" s="57">
        <f t="shared" ca="1" si="20"/>
        <v>0</v>
      </c>
      <c r="O77" s="57">
        <f t="shared" ca="1" si="20"/>
        <v>0</v>
      </c>
      <c r="P77" s="57">
        <f t="shared" ca="1" si="20"/>
        <v>0</v>
      </c>
      <c r="Q77" s="57">
        <f t="shared" ca="1" si="20"/>
        <v>0</v>
      </c>
      <c r="R77" s="57">
        <f t="shared" ca="1" si="20"/>
        <v>0</v>
      </c>
      <c r="S77" s="57">
        <f t="shared" ca="1" si="20"/>
        <v>0</v>
      </c>
      <c r="T77" s="57">
        <f t="shared" ca="1" si="20"/>
        <v>0</v>
      </c>
      <c r="U77" s="57">
        <f t="shared" ca="1" si="20"/>
        <v>0</v>
      </c>
      <c r="V77" s="57">
        <f t="shared" ca="1" si="20"/>
        <v>0</v>
      </c>
    </row>
    <row r="78" spans="2:22" ht="13.5" customHeight="1" outlineLevel="1">
      <c r="B78" s="38" t="s">
        <v>167</v>
      </c>
      <c r="L78" s="57">
        <f t="shared" ref="L78:V78" ca="1" si="21">L272</f>
        <v>0</v>
      </c>
      <c r="M78" s="57">
        <f t="shared" ca="1" si="21"/>
        <v>0</v>
      </c>
      <c r="N78" s="57">
        <f t="shared" ca="1" si="21"/>
        <v>0</v>
      </c>
      <c r="O78" s="57">
        <f t="shared" ca="1" si="21"/>
        <v>0</v>
      </c>
      <c r="P78" s="57">
        <f t="shared" ca="1" si="21"/>
        <v>0</v>
      </c>
      <c r="Q78" s="57">
        <f t="shared" ca="1" si="21"/>
        <v>0</v>
      </c>
      <c r="R78" s="57">
        <f t="shared" ca="1" si="21"/>
        <v>0</v>
      </c>
      <c r="S78" s="57">
        <f t="shared" ca="1" si="21"/>
        <v>0</v>
      </c>
      <c r="T78" s="57">
        <f t="shared" ca="1" si="21"/>
        <v>0</v>
      </c>
      <c r="U78" s="57">
        <f t="shared" ca="1" si="21"/>
        <v>0</v>
      </c>
      <c r="V78" s="57">
        <f t="shared" ca="1" si="21"/>
        <v>0</v>
      </c>
    </row>
    <row r="79" spans="2:22" ht="13.5" customHeight="1" outlineLevel="1">
      <c r="B79" s="138" t="s">
        <v>164</v>
      </c>
      <c r="C79" s="52"/>
      <c r="D79" s="52"/>
      <c r="E79" s="52"/>
      <c r="F79" s="52"/>
      <c r="G79" s="52"/>
      <c r="H79" s="52"/>
      <c r="I79" s="52"/>
      <c r="J79" s="52"/>
      <c r="K79" s="52"/>
      <c r="L79" s="87">
        <f t="shared" ref="L79:V79" ca="1" si="22">SUM(L74:L78)</f>
        <v>202</v>
      </c>
      <c r="M79" s="87">
        <f t="shared" ca="1" si="22"/>
        <v>154.49375000000001</v>
      </c>
      <c r="N79" s="87">
        <f t="shared" ca="1" si="22"/>
        <v>157.93799999999999</v>
      </c>
      <c r="O79" s="87">
        <f t="shared" ca="1" si="22"/>
        <v>161.55556000000001</v>
      </c>
      <c r="P79" s="87">
        <f t="shared" ca="1" si="22"/>
        <v>164.00847680000001</v>
      </c>
      <c r="Q79" s="87">
        <f t="shared" ca="1" si="22"/>
        <v>164.50847680000001</v>
      </c>
      <c r="R79" s="87">
        <f t="shared" ca="1" si="22"/>
        <v>114.5084768</v>
      </c>
      <c r="S79" s="87">
        <f t="shared" ca="1" si="22"/>
        <v>114.5084768</v>
      </c>
      <c r="T79" s="87">
        <f t="shared" ca="1" si="22"/>
        <v>14.5084768</v>
      </c>
      <c r="U79" s="87">
        <f t="shared" ca="1" si="22"/>
        <v>14.5084768</v>
      </c>
      <c r="V79" s="87">
        <f t="shared" ca="1" si="22"/>
        <v>14.5084768</v>
      </c>
    </row>
    <row r="80" spans="2:22" ht="13.5" customHeight="1" outlineLevel="1">
      <c r="B80" s="38" t="s">
        <v>206</v>
      </c>
      <c r="K80" s="139"/>
      <c r="L80" s="57">
        <f t="shared" ref="L80:V80" ca="1" si="23">L247</f>
        <v>100</v>
      </c>
      <c r="M80" s="57">
        <f t="shared" ca="1" si="23"/>
        <v>110.85264471836908</v>
      </c>
      <c r="N80" s="57">
        <f t="shared" ca="1" si="23"/>
        <v>206.0195373034054</v>
      </c>
      <c r="O80" s="57">
        <f t="shared" ca="1" si="23"/>
        <v>305.69100303217533</v>
      </c>
      <c r="P80" s="57">
        <f t="shared" ca="1" si="23"/>
        <v>405.98651969505573</v>
      </c>
      <c r="Q80" s="57">
        <f t="shared" ca="1" si="23"/>
        <v>506.39392440259991</v>
      </c>
      <c r="R80" s="57">
        <f t="shared" ca="1" si="23"/>
        <v>552.11042502983628</v>
      </c>
      <c r="S80" s="57">
        <f t="shared" ca="1" si="23"/>
        <v>650.18406154967431</v>
      </c>
      <c r="T80" s="57">
        <f t="shared" ca="1" si="23"/>
        <v>648.99472750485597</v>
      </c>
      <c r="U80" s="57">
        <f t="shared" ca="1" si="23"/>
        <v>755.91255677183017</v>
      </c>
      <c r="V80" s="57">
        <f t="shared" ca="1" si="23"/>
        <v>864.28648592159175</v>
      </c>
    </row>
    <row r="81" spans="2:22" ht="13.5" customHeight="1" outlineLevel="1">
      <c r="B81" s="140" t="s">
        <v>122</v>
      </c>
      <c r="C81" s="141"/>
      <c r="D81" s="141"/>
      <c r="E81" s="141"/>
      <c r="F81" s="141"/>
      <c r="G81" s="141"/>
      <c r="H81" s="141"/>
      <c r="I81" s="141"/>
      <c r="J81" s="141"/>
      <c r="K81" s="141"/>
      <c r="L81" s="142">
        <f t="shared" ref="L81:V81" ca="1" si="24">L79-L80</f>
        <v>102</v>
      </c>
      <c r="M81" s="142">
        <f t="shared" ca="1" si="24"/>
        <v>43.641105281630928</v>
      </c>
      <c r="N81" s="142">
        <f t="shared" ca="1" si="24"/>
        <v>-48.081537303405412</v>
      </c>
      <c r="O81" s="142">
        <f t="shared" ca="1" si="24"/>
        <v>-144.13544303217532</v>
      </c>
      <c r="P81" s="142">
        <f t="shared" ca="1" si="24"/>
        <v>-241.97804289505572</v>
      </c>
      <c r="Q81" s="142">
        <f t="shared" ca="1" si="24"/>
        <v>-341.88544760259992</v>
      </c>
      <c r="R81" s="142">
        <f t="shared" ca="1" si="24"/>
        <v>-437.6019482298363</v>
      </c>
      <c r="S81" s="142">
        <f t="shared" ca="1" si="24"/>
        <v>-535.67558474967427</v>
      </c>
      <c r="T81" s="142">
        <f t="shared" ca="1" si="24"/>
        <v>-634.48625070485593</v>
      </c>
      <c r="U81" s="142">
        <f t="shared" ca="1" si="24"/>
        <v>-741.40407997183013</v>
      </c>
      <c r="V81" s="142">
        <f t="shared" ca="1" si="24"/>
        <v>-849.77800912159171</v>
      </c>
    </row>
    <row r="82" spans="2:22" ht="13.5" customHeight="1" outlineLevel="1">
      <c r="V82" s="135"/>
    </row>
    <row r="83" spans="2:22" s="35" customFormat="1" ht="13.5" customHeight="1" outlineLevel="1">
      <c r="B83" s="46" t="s">
        <v>678</v>
      </c>
      <c r="C83" s="47"/>
      <c r="D83" s="47"/>
      <c r="E83" s="47"/>
      <c r="F83" s="47"/>
      <c r="G83" s="47"/>
      <c r="H83" s="47"/>
      <c r="I83" s="47"/>
      <c r="J83" s="47"/>
      <c r="K83" s="47"/>
      <c r="L83" s="47"/>
      <c r="M83" s="47"/>
      <c r="N83" s="47"/>
      <c r="O83" s="47"/>
      <c r="P83" s="47"/>
      <c r="Q83" s="47"/>
      <c r="R83" s="47"/>
      <c r="S83" s="47"/>
      <c r="T83" s="47"/>
      <c r="U83" s="47"/>
      <c r="V83" s="48"/>
    </row>
    <row r="84" spans="2:22" ht="5.0999999999999996" customHeight="1" outlineLevel="1">
      <c r="B84" s="143"/>
      <c r="V84" s="135"/>
    </row>
    <row r="85" spans="2:22" ht="13.5" customHeight="1" outlineLevel="1">
      <c r="B85" s="38" t="s">
        <v>538</v>
      </c>
      <c r="M85" s="54">
        <f t="shared" ref="M85:V85" ca="1" si="25">M891/M148</f>
        <v>14.814999999999998</v>
      </c>
      <c r="N85" s="54">
        <f t="shared" ca="1" si="25"/>
        <v>11.46555</v>
      </c>
      <c r="O85" s="54">
        <f t="shared" ca="1" si="25"/>
        <v>11.989725</v>
      </c>
      <c r="P85" s="54">
        <f t="shared" ca="1" si="25"/>
        <v>12.410400000000001</v>
      </c>
      <c r="Q85" s="54">
        <f t="shared" ca="1" si="25"/>
        <v>11.886175000000001</v>
      </c>
      <c r="R85" s="54">
        <f t="shared" ca="1" si="25"/>
        <v>11.8315</v>
      </c>
      <c r="S85" s="54">
        <f t="shared" ca="1" si="25"/>
        <v>11.980550000000001</v>
      </c>
      <c r="T85" s="54">
        <f t="shared" ca="1" si="25"/>
        <v>12.112350000000001</v>
      </c>
      <c r="U85" s="54">
        <f t="shared" ca="1" si="25"/>
        <v>0.5</v>
      </c>
      <c r="V85" s="54">
        <f t="shared" ca="1" si="25"/>
        <v>0.5</v>
      </c>
    </row>
    <row r="86" spans="2:22" ht="13.5" customHeight="1" outlineLevel="1">
      <c r="B86" s="38" t="s">
        <v>674</v>
      </c>
      <c r="M86" s="57">
        <f t="shared" ref="M86:V86" ca="1" si="26">M893/M148-M85</f>
        <v>5.7499999999999964</v>
      </c>
      <c r="N86" s="57">
        <f t="shared" ca="1" si="26"/>
        <v>5.75</v>
      </c>
      <c r="O86" s="57">
        <f t="shared" ca="1" si="26"/>
        <v>5.75</v>
      </c>
      <c r="P86" s="57">
        <f t="shared" ca="1" si="26"/>
        <v>5.7500000000000018</v>
      </c>
      <c r="Q86" s="57">
        <f t="shared" ca="1" si="26"/>
        <v>5.28125</v>
      </c>
      <c r="R86" s="57">
        <f t="shared" ca="1" si="26"/>
        <v>5.1249999999999982</v>
      </c>
      <c r="S86" s="57">
        <f t="shared" ca="1" si="26"/>
        <v>0</v>
      </c>
      <c r="T86" s="57">
        <f t="shared" ca="1" si="26"/>
        <v>0</v>
      </c>
      <c r="U86" s="57">
        <f t="shared" ca="1" si="26"/>
        <v>0</v>
      </c>
      <c r="V86" s="57">
        <f t="shared" ca="1" si="26"/>
        <v>0</v>
      </c>
    </row>
    <row r="87" spans="2:22" ht="13.5" customHeight="1" outlineLevel="1">
      <c r="B87" s="38" t="s">
        <v>210</v>
      </c>
      <c r="M87" s="57">
        <f t="shared" ref="M87:V87" si="27">M894/M148</f>
        <v>1.325</v>
      </c>
      <c r="N87" s="57">
        <f t="shared" ca="1" si="27"/>
        <v>1.44425</v>
      </c>
      <c r="O87" s="57">
        <f t="shared" ca="1" si="27"/>
        <v>1.6175600000000001</v>
      </c>
      <c r="P87" s="57">
        <f t="shared" ca="1" si="27"/>
        <v>1.8116671999999998</v>
      </c>
      <c r="Q87" s="57">
        <f t="shared" ca="1" si="27"/>
        <v>1.7722672159999999</v>
      </c>
      <c r="R87" s="57">
        <f t="shared" ca="1" si="27"/>
        <v>1.7410172159999999</v>
      </c>
      <c r="S87" s="57">
        <f t="shared" ca="1" si="27"/>
        <v>1.7410172159999999</v>
      </c>
      <c r="T87" s="57">
        <f t="shared" ca="1" si="27"/>
        <v>1.7410172159999999</v>
      </c>
      <c r="U87" s="57">
        <f t="shared" ca="1" si="27"/>
        <v>1.7410172159999999</v>
      </c>
      <c r="V87" s="57">
        <f t="shared" ca="1" si="27"/>
        <v>1.7410172159999999</v>
      </c>
    </row>
    <row r="88" spans="2:22" ht="13.5" customHeight="1" outlineLevel="1">
      <c r="B88" s="138" t="s">
        <v>675</v>
      </c>
      <c r="C88" s="52"/>
      <c r="D88" s="52"/>
      <c r="E88" s="52"/>
      <c r="F88" s="52"/>
      <c r="G88" s="52"/>
      <c r="H88" s="52"/>
      <c r="I88" s="52"/>
      <c r="J88" s="52"/>
      <c r="K88" s="52"/>
      <c r="L88" s="87"/>
      <c r="M88" s="67">
        <f ca="1">SUM(M85:M87)</f>
        <v>21.889999999999993</v>
      </c>
      <c r="N88" s="67">
        <f t="shared" ref="N88:V88" ca="1" si="28">SUM(N85:N87)</f>
        <v>18.659800000000001</v>
      </c>
      <c r="O88" s="67">
        <f t="shared" ca="1" si="28"/>
        <v>19.357285000000001</v>
      </c>
      <c r="P88" s="67">
        <f t="shared" ca="1" si="28"/>
        <v>19.972067200000001</v>
      </c>
      <c r="Q88" s="67">
        <f t="shared" ca="1" si="28"/>
        <v>18.939692216000001</v>
      </c>
      <c r="R88" s="67">
        <f t="shared" ca="1" si="28"/>
        <v>18.697517215999998</v>
      </c>
      <c r="S88" s="67">
        <f t="shared" ca="1" si="28"/>
        <v>13.721567216</v>
      </c>
      <c r="T88" s="67">
        <f t="shared" ca="1" si="28"/>
        <v>13.853367216000001</v>
      </c>
      <c r="U88" s="67">
        <f t="shared" ca="1" si="28"/>
        <v>2.2410172159999999</v>
      </c>
      <c r="V88" s="67">
        <f t="shared" ca="1" si="28"/>
        <v>2.2410172159999999</v>
      </c>
    </row>
    <row r="89" spans="2:22" s="80" customFormat="1" ht="13.5" customHeight="1" outlineLevel="1">
      <c r="M89" s="144"/>
      <c r="N89" s="144"/>
      <c r="O89" s="144"/>
      <c r="P89" s="144"/>
      <c r="Q89" s="144"/>
      <c r="R89" s="144"/>
      <c r="S89" s="144"/>
      <c r="T89" s="144"/>
      <c r="U89" s="144"/>
      <c r="V89" s="144"/>
    </row>
    <row r="90" spans="2:22" ht="13.5" customHeight="1" outlineLevel="1">
      <c r="B90" s="38" t="s">
        <v>211</v>
      </c>
      <c r="M90" s="54">
        <f t="shared" ref="M90:V90" ca="1" si="29">M893/M148</f>
        <v>20.564999999999994</v>
      </c>
      <c r="N90" s="54">
        <f t="shared" ca="1" si="29"/>
        <v>17.21555</v>
      </c>
      <c r="O90" s="54">
        <f t="shared" ca="1" si="29"/>
        <v>17.739725</v>
      </c>
      <c r="P90" s="54">
        <f t="shared" ca="1" si="29"/>
        <v>18.160400000000003</v>
      </c>
      <c r="Q90" s="54">
        <f t="shared" ca="1" si="29"/>
        <v>17.167425000000001</v>
      </c>
      <c r="R90" s="54">
        <f t="shared" ca="1" si="29"/>
        <v>16.956499999999998</v>
      </c>
      <c r="S90" s="54">
        <f t="shared" ca="1" si="29"/>
        <v>11.980550000000001</v>
      </c>
      <c r="T90" s="54">
        <f t="shared" ca="1" si="29"/>
        <v>12.112350000000001</v>
      </c>
      <c r="U90" s="54">
        <f t="shared" ca="1" si="29"/>
        <v>0.5</v>
      </c>
      <c r="V90" s="54">
        <f t="shared" ca="1" si="29"/>
        <v>0.5</v>
      </c>
    </row>
    <row r="91" spans="2:22" ht="13.5" customHeight="1" outlineLevel="1">
      <c r="M91" s="145"/>
      <c r="N91" s="145"/>
      <c r="O91" s="145"/>
      <c r="P91" s="145"/>
      <c r="Q91" s="145"/>
      <c r="R91" s="145"/>
      <c r="S91" s="145"/>
      <c r="T91" s="145"/>
      <c r="U91" s="145"/>
      <c r="V91" s="145"/>
    </row>
    <row r="92" spans="2:22" s="35" customFormat="1" ht="13.5" customHeight="1" outlineLevel="1">
      <c r="B92" s="46" t="s">
        <v>59</v>
      </c>
      <c r="C92" s="47"/>
      <c r="D92" s="47"/>
      <c r="E92" s="47"/>
      <c r="F92" s="47"/>
      <c r="G92" s="47"/>
      <c r="H92" s="47"/>
      <c r="I92" s="47"/>
      <c r="J92" s="47"/>
      <c r="K92" s="47"/>
      <c r="L92" s="47"/>
      <c r="M92" s="47"/>
      <c r="N92" s="47"/>
      <c r="O92" s="47"/>
      <c r="P92" s="47"/>
      <c r="Q92" s="47"/>
      <c r="R92" s="47"/>
      <c r="S92" s="47"/>
      <c r="T92" s="47"/>
      <c r="U92" s="47"/>
      <c r="V92" s="48"/>
    </row>
    <row r="93" spans="2:22" ht="5.0999999999999996" customHeight="1" outlineLevel="1">
      <c r="B93" s="143"/>
      <c r="V93" s="135"/>
    </row>
    <row r="94" spans="2:22" ht="13.5" customHeight="1" outlineLevel="1">
      <c r="B94" s="38" t="s">
        <v>396</v>
      </c>
      <c r="L94" s="146">
        <f ca="1">L79/L68</f>
        <v>1.5561804244828781</v>
      </c>
      <c r="M94" s="147">
        <f ca="1">M79/M68</f>
        <v>1.2212944664031624</v>
      </c>
      <c r="N94" s="147">
        <f t="shared" ref="N94:V94" ca="1" si="30">N79/N68</f>
        <v>1.0130724823604873</v>
      </c>
      <c r="O94" s="147">
        <f t="shared" ca="1" si="30"/>
        <v>1.0090915677701444</v>
      </c>
      <c r="P94" s="147">
        <f t="shared" ca="1" si="30"/>
        <v>1.0170351815252423</v>
      </c>
      <c r="Q94" s="147">
        <f t="shared" ca="1" si="30"/>
        <v>1.0127768870033715</v>
      </c>
      <c r="R94" s="147">
        <f t="shared" ca="1" si="30"/>
        <v>0.6998642217679012</v>
      </c>
      <c r="S94" s="147">
        <f t="shared" ca="1" si="30"/>
        <v>0.69479920093610847</v>
      </c>
      <c r="T94" s="147">
        <f t="shared" ca="1" si="30"/>
        <v>8.73944599726664E-2</v>
      </c>
      <c r="U94" s="147">
        <f t="shared" ca="1" si="30"/>
        <v>8.6759938537038173E-2</v>
      </c>
      <c r="V94" s="147">
        <f t="shared" ca="1" si="30"/>
        <v>8.6129022571240832E-2</v>
      </c>
    </row>
    <row r="95" spans="2:22" ht="13.5" customHeight="1" outlineLevel="1">
      <c r="B95" s="38" t="s">
        <v>395</v>
      </c>
      <c r="L95" s="146">
        <f ca="1">L74/L68</f>
        <v>1.1170602056931551</v>
      </c>
      <c r="M95" s="147">
        <f ca="1">M74/M68</f>
        <v>0.75839920948616624</v>
      </c>
      <c r="N95" s="147">
        <f t="shared" ref="N95:V95" ca="1" si="31">N74/N68</f>
        <v>0.62339640795381646</v>
      </c>
      <c r="O95" s="147">
        <f t="shared" ca="1" si="31"/>
        <v>0.61485009369144317</v>
      </c>
      <c r="P95" s="147">
        <f t="shared" ca="1" si="31"/>
        <v>0.61817350320210762</v>
      </c>
      <c r="Q95" s="147">
        <f t="shared" ca="1" si="31"/>
        <v>0.61563811586113437</v>
      </c>
      <c r="R95" s="147">
        <f t="shared" ca="1" si="31"/>
        <v>0.61118987984643347</v>
      </c>
      <c r="S95" s="147">
        <f t="shared" ca="1" si="31"/>
        <v>0.60676660833559226</v>
      </c>
      <c r="T95" s="147">
        <f t="shared" ca="1" si="31"/>
        <v>0</v>
      </c>
      <c r="U95" s="147">
        <f t="shared" ca="1" si="31"/>
        <v>0</v>
      </c>
      <c r="V95" s="147">
        <f t="shared" ca="1" si="31"/>
        <v>0</v>
      </c>
    </row>
    <row r="96" spans="2:22" ht="13.5" customHeight="1" outlineLevel="1">
      <c r="B96" s="38" t="s">
        <v>394</v>
      </c>
      <c r="L96" s="146">
        <f ca="1">L81/L68</f>
        <v>0.78579407572897808</v>
      </c>
      <c r="M96" s="147">
        <f ca="1">M81/M68</f>
        <v>0.34498897455834737</v>
      </c>
      <c r="N96" s="147">
        <f t="shared" ref="N96:V96" ca="1" si="32">N81/N68</f>
        <v>-0.30841268315205517</v>
      </c>
      <c r="O96" s="147">
        <f t="shared" ca="1" si="32"/>
        <v>-0.90028384155012742</v>
      </c>
      <c r="P96" s="147">
        <f t="shared" ca="1" si="32"/>
        <v>-1.500533311342209</v>
      </c>
      <c r="Q96" s="147">
        <f t="shared" ca="1" si="32"/>
        <v>-2.1047771280240521</v>
      </c>
      <c r="R96" s="147">
        <f t="shared" ca="1" si="32"/>
        <v>-2.6745788215915889</v>
      </c>
      <c r="S96" s="147">
        <f t="shared" ca="1" si="32"/>
        <v>-3.2503005772674496</v>
      </c>
      <c r="T96" s="147">
        <f t="shared" ca="1" si="32"/>
        <v>-3.8219438197973137</v>
      </c>
      <c r="U96" s="147">
        <f t="shared" ca="1" si="32"/>
        <v>-4.4335579327986592</v>
      </c>
      <c r="V96" s="147">
        <f t="shared" ca="1" si="32"/>
        <v>-5.044674939837769</v>
      </c>
    </row>
    <row r="97" spans="2:22" ht="13.5" customHeight="1" outlineLevel="1">
      <c r="B97" s="38" t="s">
        <v>676</v>
      </c>
      <c r="L97" s="146">
        <f ca="1">L79/(L68-L69)</f>
        <v>1.8492568339960076</v>
      </c>
      <c r="M97" s="147">
        <f ca="1">M79/(M68-M69)</f>
        <v>1.410901826484019</v>
      </c>
      <c r="N97" s="147">
        <f t="shared" ref="N97:V97" ca="1" si="33">N79/(N68-N69)</f>
        <v>1.1453081943437269</v>
      </c>
      <c r="O97" s="147">
        <f t="shared" ca="1" si="33"/>
        <v>1.1449720765414608</v>
      </c>
      <c r="P97" s="147">
        <f t="shared" ca="1" si="33"/>
        <v>1.1542434575793854</v>
      </c>
      <c r="Q97" s="147">
        <f t="shared" ca="1" si="33"/>
        <v>1.1496663891619372</v>
      </c>
      <c r="R97" s="147">
        <f t="shared" ca="1" si="33"/>
        <v>0.79463544851045942</v>
      </c>
      <c r="S97" s="147">
        <f t="shared" ca="1" si="33"/>
        <v>0.78905817612893914</v>
      </c>
      <c r="T97" s="147">
        <f t="shared" ca="1" si="33"/>
        <v>9.9272434098040069E-2</v>
      </c>
      <c r="U97" s="147">
        <f t="shared" ca="1" si="33"/>
        <v>9.8573128295508516E-2</v>
      </c>
      <c r="V97" s="147">
        <f t="shared" ca="1" si="33"/>
        <v>9.7877494124834624E-2</v>
      </c>
    </row>
    <row r="98" spans="2:22" ht="13.5" customHeight="1" outlineLevel="1"/>
    <row r="99" spans="2:22" s="35" customFormat="1" ht="13.5" customHeight="1" outlineLevel="1">
      <c r="B99" s="46" t="s">
        <v>60</v>
      </c>
      <c r="C99" s="47"/>
      <c r="D99" s="47"/>
      <c r="E99" s="47"/>
      <c r="F99" s="47"/>
      <c r="G99" s="47"/>
      <c r="H99" s="47"/>
      <c r="I99" s="47"/>
      <c r="J99" s="47"/>
      <c r="K99" s="47"/>
      <c r="L99" s="47"/>
      <c r="M99" s="47"/>
      <c r="N99" s="47"/>
      <c r="O99" s="47"/>
      <c r="P99" s="47"/>
      <c r="Q99" s="47"/>
      <c r="R99" s="47"/>
      <c r="S99" s="47"/>
      <c r="T99" s="47"/>
      <c r="U99" s="47"/>
      <c r="V99" s="48"/>
    </row>
    <row r="100" spans="2:22" ht="5.0999999999999996" customHeight="1" outlineLevel="1">
      <c r="B100" s="143"/>
      <c r="V100" s="135"/>
    </row>
    <row r="101" spans="2:22" ht="13.5" customHeight="1" outlineLevel="1">
      <c r="B101" s="38" t="s">
        <v>393</v>
      </c>
      <c r="M101" s="147">
        <f ca="1">IFERROR(M68/M85,"NM")</f>
        <v>8.538643266959161</v>
      </c>
      <c r="N101" s="147">
        <f t="shared" ref="N101:V101" ca="1" si="34">IFERROR(N68/N85,"NM")</f>
        <v>13.59725438378447</v>
      </c>
      <c r="O101" s="147">
        <f t="shared" ca="1" si="34"/>
        <v>13.353100258763225</v>
      </c>
      <c r="P101" s="147">
        <f t="shared" ca="1" si="34"/>
        <v>12.994050172036982</v>
      </c>
      <c r="Q101" s="147">
        <f t="shared" ca="1" si="34"/>
        <v>13.665715639741141</v>
      </c>
      <c r="R101" s="147">
        <f t="shared" ca="1" si="34"/>
        <v>13.82878540853101</v>
      </c>
      <c r="S101" s="147">
        <f t="shared" ca="1" si="34"/>
        <v>13.756297876577888</v>
      </c>
      <c r="T101" s="147">
        <f t="shared" ca="1" si="34"/>
        <v>13.705961410458437</v>
      </c>
      <c r="U101" s="147">
        <f t="shared" ca="1" si="34"/>
        <v>334.45106219862691</v>
      </c>
      <c r="V101" s="147">
        <f t="shared" ca="1" si="34"/>
        <v>336.90099729157953</v>
      </c>
    </row>
    <row r="102" spans="2:22" ht="13.5" customHeight="1" outlineLevel="1">
      <c r="B102" s="38" t="s">
        <v>392</v>
      </c>
      <c r="M102" s="147">
        <f ca="1">IFERROR(M68/M88,"NM")</f>
        <v>5.7788944723618085</v>
      </c>
      <c r="N102" s="147">
        <f t="shared" ref="N102:V102" ca="1" si="35">IFERROR(N68/N88,"NM")</f>
        <v>8.354859108886485</v>
      </c>
      <c r="O102" s="147">
        <f t="shared" ca="1" si="35"/>
        <v>8.2707879746565656</v>
      </c>
      <c r="P102" s="147">
        <f t="shared" ca="1" si="35"/>
        <v>8.0743449659055706</v>
      </c>
      <c r="Q102" s="147">
        <f t="shared" ca="1" si="35"/>
        <v>8.5763319562806224</v>
      </c>
      <c r="R102" s="147">
        <f t="shared" ca="1" si="35"/>
        <v>8.7506417387344033</v>
      </c>
      <c r="S102" s="147">
        <f t="shared" ca="1" si="35"/>
        <v>12.010873971674405</v>
      </c>
      <c r="T102" s="147">
        <f t="shared" ca="1" si="35"/>
        <v>11.983469368965457</v>
      </c>
      <c r="U102" s="147">
        <f t="shared" ca="1" si="35"/>
        <v>74.620368779582577</v>
      </c>
      <c r="V102" s="147">
        <f t="shared" ca="1" si="35"/>
        <v>75.166981066953909</v>
      </c>
    </row>
    <row r="103" spans="2:22" ht="13.5" customHeight="1" outlineLevel="1">
      <c r="B103" s="38" t="s">
        <v>391</v>
      </c>
      <c r="M103" s="147">
        <f ca="1">IFERROR(M68/M90,"NM")</f>
        <v>6.1512278142475072</v>
      </c>
      <c r="N103" s="147">
        <f t="shared" ref="N103:V103" ca="1" si="36">IFERROR(N68/N90,"NM")</f>
        <v>9.0557664437093219</v>
      </c>
      <c r="O103" s="147">
        <f t="shared" ca="1" si="36"/>
        <v>9.0249426076221528</v>
      </c>
      <c r="P103" s="147">
        <f t="shared" ca="1" si="36"/>
        <v>8.8798352599638637</v>
      </c>
      <c r="Q103" s="147">
        <f t="shared" ca="1" si="36"/>
        <v>9.4617036389674141</v>
      </c>
      <c r="R103" s="147">
        <f t="shared" ca="1" si="36"/>
        <v>9.6491183063152572</v>
      </c>
      <c r="S103" s="147">
        <f t="shared" ca="1" si="36"/>
        <v>13.756297876577888</v>
      </c>
      <c r="T103" s="147">
        <f t="shared" ca="1" si="36"/>
        <v>13.705961410458437</v>
      </c>
      <c r="U103" s="147">
        <f t="shared" ca="1" si="36"/>
        <v>334.45106219862691</v>
      </c>
      <c r="V103" s="147">
        <f t="shared" ca="1" si="36"/>
        <v>336.90099729157953</v>
      </c>
    </row>
    <row r="104" spans="2:22" ht="13.5" customHeight="1" outlineLevel="1">
      <c r="M104" s="148"/>
      <c r="N104" s="148"/>
      <c r="O104" s="148"/>
      <c r="P104" s="148"/>
      <c r="Q104" s="148"/>
      <c r="R104" s="148"/>
      <c r="S104" s="148"/>
      <c r="T104" s="148"/>
      <c r="U104" s="148"/>
      <c r="V104" s="148"/>
    </row>
    <row r="105" spans="2:22" ht="13.5" customHeight="1" outlineLevel="1">
      <c r="B105" s="38" t="s">
        <v>668</v>
      </c>
      <c r="M105" s="147">
        <f ca="1">IFERROR((M68-M69)/M85,"NM")</f>
        <v>7.3911576105298664</v>
      </c>
      <c r="N105" s="147">
        <f t="shared" ref="N105:V105" ca="1" si="37">IFERROR((N68-N69)/N85,"NM")</f>
        <v>12.027334057241042</v>
      </c>
      <c r="O105" s="147">
        <f t="shared" ca="1" si="37"/>
        <v>11.768410034425303</v>
      </c>
      <c r="P105" s="147">
        <f t="shared" ca="1" si="37"/>
        <v>11.449409644634544</v>
      </c>
      <c r="Q105" s="147">
        <f t="shared" ca="1" si="37"/>
        <v>12.038554031643375</v>
      </c>
      <c r="R105" s="147">
        <f t="shared" ca="1" si="37"/>
        <v>12.179512197799307</v>
      </c>
      <c r="S105" s="147">
        <f t="shared" ca="1" si="37"/>
        <v>12.113003909769464</v>
      </c>
      <c r="T105" s="147">
        <f t="shared" ca="1" si="37"/>
        <v>12.066039346736124</v>
      </c>
      <c r="U105" s="147">
        <f t="shared" ca="1" si="37"/>
        <v>294.36981560543774</v>
      </c>
      <c r="V105" s="147">
        <f t="shared" ca="1" si="37"/>
        <v>296.46195848650643</v>
      </c>
    </row>
    <row r="106" spans="2:22" ht="13.5" customHeight="1" outlineLevel="1">
      <c r="B106" s="38" t="s">
        <v>669</v>
      </c>
      <c r="M106" s="147">
        <f ca="1">IFERROR((M68-M69)/M88,"NM")</f>
        <v>5.0022841480127909</v>
      </c>
      <c r="N106" s="147">
        <f t="shared" ref="N106:V106" ca="1" si="38">IFERROR((N68-N69)/N88,"NM")</f>
        <v>7.3902185446789375</v>
      </c>
      <c r="O106" s="147">
        <f t="shared" ca="1" si="38"/>
        <v>7.2892453667960098</v>
      </c>
      <c r="P106" s="147">
        <f t="shared" ca="1" si="38"/>
        <v>7.1145241016299279</v>
      </c>
      <c r="Q106" s="147">
        <f t="shared" ca="1" si="38"/>
        <v>7.5551576200476047</v>
      </c>
      <c r="R106" s="147">
        <f t="shared" ca="1" si="38"/>
        <v>7.7070071338108139</v>
      </c>
      <c r="S106" s="147">
        <f t="shared" ca="1" si="38"/>
        <v>10.576084109544807</v>
      </c>
      <c r="T106" s="147">
        <f t="shared" ca="1" si="38"/>
        <v>10.54964395317876</v>
      </c>
      <c r="U106" s="147">
        <f t="shared" ca="1" si="38"/>
        <v>65.677722933976284</v>
      </c>
      <c r="V106" s="147">
        <f t="shared" ca="1" si="38"/>
        <v>66.144507139410223</v>
      </c>
    </row>
    <row r="107" spans="2:22" ht="13.5" customHeight="1" outlineLevel="1">
      <c r="B107" s="38" t="s">
        <v>670</v>
      </c>
      <c r="M107" s="147">
        <f ca="1">IFERROR((M68-M69)/M90,"NM")</f>
        <v>5.3245805981035739</v>
      </c>
      <c r="N107" s="147">
        <f t="shared" ref="N107:V107" ca="1" si="39">IFERROR((N68-N69)/N90,"NM")</f>
        <v>8.0102000807409599</v>
      </c>
      <c r="O107" s="147">
        <f t="shared" ca="1" si="39"/>
        <v>7.9539000745501927</v>
      </c>
      <c r="P107" s="147">
        <f t="shared" ca="1" si="39"/>
        <v>7.8242634222689222</v>
      </c>
      <c r="Q107" s="147">
        <f t="shared" ca="1" si="39"/>
        <v>8.3351090782146251</v>
      </c>
      <c r="R107" s="147">
        <f t="shared" ca="1" si="39"/>
        <v>8.4983279903436735</v>
      </c>
      <c r="S107" s="147">
        <f t="shared" ca="1" si="39"/>
        <v>12.113003909769464</v>
      </c>
      <c r="T107" s="147">
        <f t="shared" ca="1" si="39"/>
        <v>12.066039346736124</v>
      </c>
      <c r="U107" s="147">
        <f t="shared" ca="1" si="39"/>
        <v>294.36981560543774</v>
      </c>
      <c r="V107" s="147">
        <f t="shared" ca="1" si="39"/>
        <v>296.46195848650643</v>
      </c>
    </row>
    <row r="108" spans="2:22" ht="13.5" customHeight="1" outlineLevel="1"/>
    <row r="109" spans="2:22" ht="13.5" customHeight="1" outlineLevel="1">
      <c r="B109" s="38" t="s">
        <v>671</v>
      </c>
      <c r="M109" s="149">
        <f ca="1">IFERROR((M68-M69-M70)/M85,"NM")</f>
        <v>7.5671515332754486</v>
      </c>
      <c r="N109" s="149">
        <f t="shared" ref="N109:V109" ca="1" si="40">IFERROR((N68-N69-N70)/N85,"NM")</f>
        <v>11.696760836530295</v>
      </c>
      <c r="O109" s="149">
        <f t="shared" ca="1" si="40"/>
        <v>11.660527008225172</v>
      </c>
      <c r="P109" s="149">
        <f t="shared" ca="1" si="40"/>
        <v>11.416344162788203</v>
      </c>
      <c r="Q109" s="149">
        <f t="shared" ca="1" si="40"/>
        <v>12.003722055103113</v>
      </c>
      <c r="R109" s="149">
        <f t="shared" ca="1" si="40"/>
        <v>12.144206887313375</v>
      </c>
      <c r="S109" s="149">
        <f t="shared" ca="1" si="40"/>
        <v>12.077826594488814</v>
      </c>
      <c r="T109" s="149">
        <f t="shared" ca="1" si="40"/>
        <v>12.030934212392269</v>
      </c>
      <c r="U109" s="149">
        <f t="shared" ca="1" si="40"/>
        <v>293.51181291284075</v>
      </c>
      <c r="V109" s="149">
        <f t="shared" ca="1" si="40"/>
        <v>295.59629668379489</v>
      </c>
    </row>
    <row r="110" spans="2:22" ht="13.5" customHeight="1" outlineLevel="1">
      <c r="B110" s="38" t="s">
        <v>672</v>
      </c>
      <c r="M110" s="149">
        <f ca="1">IFERROR((M68-M69-M70)/M88,"NM")</f>
        <v>5.1213956128586471</v>
      </c>
      <c r="N110" s="149">
        <f t="shared" ref="N110:V110" ca="1" si="41">IFERROR((N68-N69-N70)/N88,"NM")</f>
        <v>7.1870971933932797</v>
      </c>
      <c r="O110" s="149">
        <f t="shared" ca="1" si="41"/>
        <v>7.2224236086668423</v>
      </c>
      <c r="P110" s="149">
        <f t="shared" ca="1" si="41"/>
        <v>7.0939776127864578</v>
      </c>
      <c r="Q110" s="149">
        <f t="shared" ca="1" si="41"/>
        <v>7.5332977627684201</v>
      </c>
      <c r="R110" s="149">
        <f t="shared" ca="1" si="41"/>
        <v>7.6846664788356795</v>
      </c>
      <c r="S110" s="149">
        <f t="shared" ca="1" si="41"/>
        <v>10.545370155522544</v>
      </c>
      <c r="T110" s="149">
        <f t="shared" ca="1" si="41"/>
        <v>10.518950644661055</v>
      </c>
      <c r="U110" s="149">
        <f t="shared" ca="1" si="41"/>
        <v>65.486291407598173</v>
      </c>
      <c r="V110" s="149">
        <f t="shared" ca="1" si="41"/>
        <v>65.95136676625043</v>
      </c>
    </row>
    <row r="111" spans="2:22" ht="13.5" customHeight="1" outlineLevel="1">
      <c r="B111" s="38" t="s">
        <v>673</v>
      </c>
      <c r="M111" s="149">
        <f ca="1">IFERROR((M68-M69-M70)/M90,"NM")</f>
        <v>5.4513663975431941</v>
      </c>
      <c r="N111" s="149">
        <f t="shared" ref="N111:V111" ca="1" si="42">IFERROR((N68-N69-N70)/N90,"NM")</f>
        <v>7.7900384367202857</v>
      </c>
      <c r="O111" s="149">
        <f t="shared" ca="1" si="42"/>
        <v>7.8809853131146363</v>
      </c>
      <c r="P111" s="149">
        <f t="shared" ca="1" si="42"/>
        <v>7.801667231881825</v>
      </c>
      <c r="Q111" s="149">
        <f t="shared" ca="1" si="42"/>
        <v>8.3109925337268251</v>
      </c>
      <c r="R111" s="149">
        <f t="shared" ca="1" si="42"/>
        <v>8.4736934973165585</v>
      </c>
      <c r="S111" s="149">
        <f t="shared" ca="1" si="42"/>
        <v>12.077826594488814</v>
      </c>
      <c r="T111" s="149">
        <f t="shared" ca="1" si="42"/>
        <v>12.030934212392269</v>
      </c>
      <c r="U111" s="149">
        <f t="shared" ca="1" si="42"/>
        <v>293.51181291284075</v>
      </c>
      <c r="V111" s="149">
        <f t="shared" ca="1" si="42"/>
        <v>295.59629668379489</v>
      </c>
    </row>
    <row r="112" spans="2:22" ht="13.5" customHeight="1" outlineLevel="1">
      <c r="V112" s="135"/>
    </row>
    <row r="113" spans="2:22" s="35" customFormat="1" ht="13.5" customHeight="1" outlineLevel="1">
      <c r="B113" s="46" t="s">
        <v>415</v>
      </c>
      <c r="C113" s="47"/>
      <c r="D113" s="47"/>
      <c r="E113" s="47"/>
      <c r="F113" s="47"/>
      <c r="G113" s="47"/>
      <c r="H113" s="47"/>
      <c r="I113" s="47"/>
      <c r="J113" s="47"/>
      <c r="K113" s="47"/>
      <c r="L113" s="47"/>
      <c r="M113" s="47"/>
      <c r="N113" s="47"/>
      <c r="O113" s="47"/>
      <c r="P113" s="47"/>
      <c r="Q113" s="47"/>
      <c r="R113" s="47"/>
      <c r="S113" s="47"/>
      <c r="T113" s="47"/>
      <c r="U113" s="47"/>
      <c r="V113" s="48"/>
    </row>
    <row r="114" spans="2:22" ht="5.0999999999999996" customHeight="1" outlineLevel="1">
      <c r="B114" s="143"/>
      <c r="V114" s="135"/>
    </row>
    <row r="115" spans="2:22" ht="13.5" customHeight="1" outlineLevel="1">
      <c r="B115" s="150" t="s">
        <v>681</v>
      </c>
      <c r="V115" s="135"/>
    </row>
    <row r="116" spans="2:22" ht="13.5" customHeight="1" outlineLevel="1">
      <c r="B116" s="38" t="s">
        <v>397</v>
      </c>
      <c r="M116" s="55">
        <f ca="1">IFERROR(1-(M74/$L74),0)</f>
        <v>0.33836206896551724</v>
      </c>
      <c r="N116" s="55">
        <f t="shared" ref="N116:V116" ca="1" si="43">IFERROR(1-(N74/$L74),0)</f>
        <v>0.32974137931034486</v>
      </c>
      <c r="O116" s="55">
        <f t="shared" ca="1" si="43"/>
        <v>0.32112068965517238</v>
      </c>
      <c r="P116" s="55">
        <f t="shared" ca="1" si="43"/>
        <v>0.3125</v>
      </c>
      <c r="Q116" s="55">
        <f t="shared" ca="1" si="43"/>
        <v>0.31034482758620685</v>
      </c>
      <c r="R116" s="55">
        <f t="shared" ca="1" si="43"/>
        <v>0.31034482758620685</v>
      </c>
      <c r="S116" s="55">
        <f t="shared" ca="1" si="43"/>
        <v>0.31034482758620685</v>
      </c>
      <c r="T116" s="55">
        <f t="shared" ca="1" si="43"/>
        <v>1</v>
      </c>
      <c r="U116" s="55">
        <f t="shared" ca="1" si="43"/>
        <v>1</v>
      </c>
      <c r="V116" s="55">
        <f t="shared" ca="1" si="43"/>
        <v>1</v>
      </c>
    </row>
    <row r="117" spans="2:22" ht="13.5" customHeight="1" outlineLevel="1">
      <c r="B117" s="38" t="s">
        <v>398</v>
      </c>
      <c r="M117" s="58">
        <f t="shared" ref="M117:V117" ca="1" si="44">1-((M79-SUM(M76:M77))/($L79-SUM($L76:$L77)))</f>
        <v>0.25243506493506496</v>
      </c>
      <c r="N117" s="58">
        <f t="shared" ca="1" si="44"/>
        <v>0.24269480519480524</v>
      </c>
      <c r="O117" s="58">
        <f t="shared" ca="1" si="44"/>
        <v>0.23295454545454541</v>
      </c>
      <c r="P117" s="58">
        <f t="shared" ca="1" si="44"/>
        <v>0.2232142857142857</v>
      </c>
      <c r="Q117" s="58">
        <f t="shared" ca="1" si="44"/>
        <v>0.22077922077922074</v>
      </c>
      <c r="R117" s="58">
        <f t="shared" ca="1" si="44"/>
        <v>0.48051948051948057</v>
      </c>
      <c r="S117" s="58">
        <f t="shared" ca="1" si="44"/>
        <v>0.48051948051948057</v>
      </c>
      <c r="T117" s="58">
        <f t="shared" ca="1" si="44"/>
        <v>1</v>
      </c>
      <c r="U117" s="58">
        <f t="shared" ca="1" si="44"/>
        <v>1</v>
      </c>
      <c r="V117" s="58">
        <f t="shared" ca="1" si="44"/>
        <v>1</v>
      </c>
    </row>
    <row r="118" spans="2:22" ht="13.5" customHeight="1" outlineLevel="1">
      <c r="V118" s="135"/>
    </row>
    <row r="119" spans="2:22" ht="13.5" customHeight="1" outlineLevel="1">
      <c r="B119" s="150" t="s">
        <v>63</v>
      </c>
      <c r="V119" s="135"/>
    </row>
    <row r="120" spans="2:22" ht="13.5" customHeight="1" outlineLevel="1">
      <c r="B120" s="38" t="s">
        <v>685</v>
      </c>
      <c r="M120" s="58">
        <f t="shared" ref="M120:N122" ca="1" si="45">M231</f>
        <v>6.2922044504521171E-2</v>
      </c>
      <c r="N120" s="58">
        <f t="shared" ca="1" si="45"/>
        <v>8.1651635646798587E-2</v>
      </c>
      <c r="O120" s="58">
        <f t="shared" ref="O120:V121" ca="1" si="46">O231</f>
        <v>7.869245967389768E-2</v>
      </c>
      <c r="P120" s="58">
        <f t="shared" ca="1" si="46"/>
        <v>7.3567935804227949E-2</v>
      </c>
      <c r="Q120" s="58">
        <f t="shared" ca="1" si="46"/>
        <v>6.8583669952299781E-2</v>
      </c>
      <c r="R120" s="58">
        <f t="shared" ca="1" si="46"/>
        <v>7.846265155024143E-2</v>
      </c>
      <c r="S120" s="58">
        <f t="shared" ca="1" si="46"/>
        <v>7.4563021613108779E-2</v>
      </c>
      <c r="T120" s="58">
        <f t="shared" ca="1" si="46"/>
        <v>7.7305160197018885E-2</v>
      </c>
      <c r="U120" s="58">
        <f t="shared" ca="1" si="46"/>
        <v>6.8165458187168598E-2</v>
      </c>
      <c r="V120" s="58">
        <f t="shared" ca="1" si="46"/>
        <v>6.3046254567912699E-2</v>
      </c>
    </row>
    <row r="121" spans="2:22" ht="13.5" customHeight="1" outlineLevel="1">
      <c r="B121" s="38" t="s">
        <v>680</v>
      </c>
      <c r="M121" s="58">
        <f t="shared" ca="1" si="45"/>
        <v>4.2272801818015411E-2</v>
      </c>
      <c r="N121" s="58">
        <f t="shared" ca="1" si="45"/>
        <v>7.3834850828992479E-2</v>
      </c>
      <c r="O121" s="58">
        <f t="shared" ca="1" si="46"/>
        <v>7.1673473685249553E-2</v>
      </c>
      <c r="P121" s="58">
        <f t="shared" ca="1" si="46"/>
        <v>6.6750748814865909E-2</v>
      </c>
      <c r="Q121" s="58">
        <f t="shared" ca="1" si="46"/>
        <v>6.392137953597464E-2</v>
      </c>
      <c r="R121" s="58">
        <f t="shared" ca="1" si="46"/>
        <v>7.2955290787295138E-2</v>
      </c>
      <c r="S121" s="58">
        <f t="shared" ca="1" si="46"/>
        <v>7.4928234035733801E-2</v>
      </c>
      <c r="T121" s="58">
        <f t="shared" ca="1" si="46"/>
        <v>7.1120464297920905E-2</v>
      </c>
      <c r="U121" s="58">
        <f t="shared" ca="1" si="46"/>
        <v>7.293266829200977E-2</v>
      </c>
      <c r="V121" s="58">
        <f t="shared" ca="1" si="46"/>
        <v>6.8277433704922619E-2</v>
      </c>
    </row>
    <row r="122" spans="2:22" ht="13.5" customHeight="1" outlineLevel="1">
      <c r="B122" s="38" t="s">
        <v>679</v>
      </c>
      <c r="M122" s="58">
        <f t="shared" ca="1" si="45"/>
        <v>2.6627925157396242E-2</v>
      </c>
      <c r="N122" s="58">
        <f t="shared" ca="1" si="45"/>
        <v>4.8157532769695387E-2</v>
      </c>
      <c r="O122" s="58">
        <f t="shared" ref="O122:V122" ca="1" si="47">O233</f>
        <v>4.8064298160172055E-2</v>
      </c>
      <c r="P122" s="58">
        <f t="shared" ca="1" si="47"/>
        <v>4.5868982125952279E-2</v>
      </c>
      <c r="Q122" s="58">
        <f t="shared" ca="1" si="47"/>
        <v>4.4978392774125471E-2</v>
      </c>
      <c r="R122" s="58">
        <f t="shared" ca="1" si="47"/>
        <v>5.4993424932545658E-2</v>
      </c>
      <c r="S122" s="58">
        <f t="shared" ca="1" si="47"/>
        <v>5.7676434144131254E-2</v>
      </c>
      <c r="T122" s="58">
        <f t="shared" ca="1" si="47"/>
        <v>6.046599696441906E-2</v>
      </c>
      <c r="U122" s="58">
        <f t="shared" ca="1" si="47"/>
        <v>6.273904268055111E-2</v>
      </c>
      <c r="V122" s="58">
        <f t="shared" ca="1" si="47"/>
        <v>5.9335705359637864E-2</v>
      </c>
    </row>
    <row r="123" spans="2:22" ht="13.5" customHeight="1" outlineLevel="1">
      <c r="V123" s="135"/>
    </row>
    <row r="124" spans="2:22" ht="13.5" customHeight="1" outlineLevel="1">
      <c r="B124" s="150" t="s">
        <v>682</v>
      </c>
      <c r="V124" s="135"/>
    </row>
    <row r="125" spans="2:22" ht="13.5" customHeight="1" outlineLevel="1">
      <c r="B125" s="38" t="s">
        <v>399</v>
      </c>
      <c r="L125" s="58">
        <f ca="1">L252/L271</f>
        <v>2.4674674170831361</v>
      </c>
      <c r="M125" s="58">
        <f t="shared" ref="M125:V125" ca="1" si="48">M252/M271</f>
        <v>2.4330317382079527</v>
      </c>
      <c r="N125" s="58">
        <f t="shared" ca="1" si="48"/>
        <v>3.4172835536287391</v>
      </c>
      <c r="O125" s="58">
        <f t="shared" ca="1" si="48"/>
        <v>4.3756264833773377</v>
      </c>
      <c r="P125" s="58">
        <f t="shared" ca="1" si="48"/>
        <v>5.2916186330886736</v>
      </c>
      <c r="Q125" s="58">
        <f t="shared" ca="1" si="48"/>
        <v>6.1915467091943182</v>
      </c>
      <c r="R125" s="58">
        <f t="shared" ca="1" si="48"/>
        <v>6.5696840815044055</v>
      </c>
      <c r="S125" s="58">
        <f t="shared" ca="1" si="48"/>
        <v>7.4193943691000968</v>
      </c>
      <c r="T125" s="58">
        <f t="shared" ca="1" si="48"/>
        <v>7.3534331157483379</v>
      </c>
      <c r="U125" s="58">
        <f t="shared" ca="1" si="48"/>
        <v>8.2589681622371351</v>
      </c>
      <c r="V125" s="58">
        <f t="shared" ca="1" si="48"/>
        <v>9.1603319351810395</v>
      </c>
    </row>
    <row r="126" spans="2:22" ht="13.5" customHeight="1" outlineLevel="1">
      <c r="B126" s="38" t="s">
        <v>400</v>
      </c>
      <c r="L126" s="58">
        <f t="shared" ref="L126:V126" ca="1" si="49">(L247+L248)/L271</f>
        <v>2.3810686779184396</v>
      </c>
      <c r="M126" s="58">
        <f ca="1">(M247+M248)/M271</f>
        <v>2.3466329990432562</v>
      </c>
      <c r="N126" s="58">
        <f t="shared" ca="1" si="49"/>
        <v>3.3308848144640426</v>
      </c>
      <c r="O126" s="58">
        <f t="shared" ca="1" si="49"/>
        <v>4.2892277442126412</v>
      </c>
      <c r="P126" s="58">
        <f t="shared" ca="1" si="49"/>
        <v>5.2052198939239771</v>
      </c>
      <c r="Q126" s="58">
        <f t="shared" ca="1" si="49"/>
        <v>6.1051479700296216</v>
      </c>
      <c r="R126" s="58">
        <f t="shared" ca="1" si="49"/>
        <v>6.4832853423397081</v>
      </c>
      <c r="S126" s="58">
        <f t="shared" ca="1" si="49"/>
        <v>7.3329956299354002</v>
      </c>
      <c r="T126" s="58">
        <f t="shared" ca="1" si="49"/>
        <v>7.2670343765836414</v>
      </c>
      <c r="U126" s="58">
        <f t="shared" ca="1" si="49"/>
        <v>8.1725694230724386</v>
      </c>
      <c r="V126" s="58">
        <f t="shared" ca="1" si="49"/>
        <v>9.0739331960163412</v>
      </c>
    </row>
    <row r="127" spans="2:22" ht="13.5" customHeight="1" outlineLevel="1">
      <c r="V127" s="135"/>
    </row>
    <row r="128" spans="2:22" ht="13.5" customHeight="1" outlineLevel="1">
      <c r="B128" s="150" t="s">
        <v>683</v>
      </c>
      <c r="V128" s="135"/>
    </row>
    <row r="129" spans="1:22" ht="13.5" customHeight="1" outlineLevel="1">
      <c r="B129" s="38" t="s">
        <v>401</v>
      </c>
      <c r="M129" s="149">
        <f t="shared" ref="M129:V129" ca="1" si="50">(M150/M148)/AVERAGE(L262:M262)</f>
        <v>0.54059042523973078</v>
      </c>
      <c r="N129" s="149">
        <f t="shared" ca="1" si="50"/>
        <v>0.53110074619418668</v>
      </c>
      <c r="O129" s="149">
        <f t="shared" ca="1" si="50"/>
        <v>0.50313498284420299</v>
      </c>
      <c r="P129" s="149">
        <f t="shared" ca="1" si="50"/>
        <v>0.47678129431136596</v>
      </c>
      <c r="Q129" s="149">
        <f t="shared" ca="1" si="50"/>
        <v>0.45336027075655122</v>
      </c>
      <c r="R129" s="149">
        <f t="shared" ca="1" si="50"/>
        <v>0.43993663124490401</v>
      </c>
      <c r="S129" s="149">
        <f t="shared" ca="1" si="50"/>
        <v>0.42387626683664076</v>
      </c>
      <c r="T129" s="149">
        <f t="shared" ca="1" si="50"/>
        <v>0.4160140704131669</v>
      </c>
      <c r="U129" s="149">
        <f t="shared" ca="1" si="50"/>
        <v>0.40673073233659701</v>
      </c>
      <c r="V129" s="149">
        <f t="shared" ca="1" si="50"/>
        <v>0.38150688658768567</v>
      </c>
    </row>
    <row r="130" spans="1:22" ht="13.5" customHeight="1" outlineLevel="1">
      <c r="B130" s="38" t="s">
        <v>402</v>
      </c>
      <c r="M130" s="149">
        <f t="shared" ref="M130:V130" ca="1" si="51">(M150/M148)/AVERAGE(L255:M255)</f>
        <v>8.6785821642115817</v>
      </c>
      <c r="N130" s="149">
        <f t="shared" ca="1" si="51"/>
        <v>8.5408243534216322</v>
      </c>
      <c r="O130" s="149">
        <f t="shared" ca="1" si="51"/>
        <v>8.2778942170065122</v>
      </c>
      <c r="P130" s="149">
        <f t="shared" ca="1" si="51"/>
        <v>7.9657605516622336</v>
      </c>
      <c r="Q130" s="149">
        <f t="shared" ca="1" si="51"/>
        <v>7.6764459888427652</v>
      </c>
      <c r="R130" s="149">
        <f t="shared" ca="1" si="51"/>
        <v>7.4075546198479367</v>
      </c>
      <c r="S130" s="149">
        <f t="shared" ca="1" si="51"/>
        <v>7.1570143151795031</v>
      </c>
      <c r="T130" s="149">
        <f t="shared" ca="1" si="51"/>
        <v>6.8462775057251148</v>
      </c>
      <c r="U130" s="149">
        <f t="shared" ca="1" si="51"/>
        <v>6.4719004597545062</v>
      </c>
      <c r="V130" s="149">
        <f t="shared" ca="1" si="51"/>
        <v>6.1190646253197452</v>
      </c>
    </row>
    <row r="131" spans="1:22" ht="13.5" customHeight="1" outlineLevel="1">
      <c r="V131" s="135"/>
    </row>
    <row r="132" spans="1:22" ht="13.5" customHeight="1" outlineLevel="1">
      <c r="B132" s="150" t="s">
        <v>684</v>
      </c>
      <c r="V132" s="135"/>
    </row>
    <row r="133" spans="1:22" ht="13.5" customHeight="1" outlineLevel="1">
      <c r="B133" s="38" t="s">
        <v>403</v>
      </c>
      <c r="L133" s="151"/>
      <c r="M133" s="149" t="str">
        <f t="shared" ref="M133:V133" ca="1" si="52">IFERROR((M383/M148)/AVERAGE(L369:M369),"NA")</f>
        <v>NA</v>
      </c>
      <c r="N133" s="149" t="str">
        <f t="shared" ca="1" si="52"/>
        <v>NA</v>
      </c>
      <c r="O133" s="149" t="str">
        <f t="shared" ca="1" si="52"/>
        <v>NA</v>
      </c>
      <c r="P133" s="149" t="str">
        <f t="shared" ca="1" si="52"/>
        <v>NA</v>
      </c>
      <c r="Q133" s="149" t="str">
        <f t="shared" ca="1" si="52"/>
        <v>NA</v>
      </c>
      <c r="R133" s="149" t="str">
        <f t="shared" ca="1" si="52"/>
        <v>NA</v>
      </c>
      <c r="S133" s="149" t="str">
        <f t="shared" ca="1" si="52"/>
        <v>NA</v>
      </c>
      <c r="T133" s="149" t="str">
        <f t="shared" ca="1" si="52"/>
        <v>NA</v>
      </c>
      <c r="U133" s="149" t="str">
        <f t="shared" ca="1" si="52"/>
        <v>NA</v>
      </c>
      <c r="V133" s="149" t="str">
        <f t="shared" ca="1" si="52"/>
        <v>NA</v>
      </c>
    </row>
    <row r="134" spans="1:22" ht="13.5" customHeight="1" outlineLevel="1">
      <c r="B134" s="38" t="s">
        <v>404</v>
      </c>
      <c r="M134" s="149">
        <f t="shared" ref="M134:V134" ca="1" si="53">IF(OR(L368&gt;0,M368&gt;0),(M382/M148)/AVERAGE(L368,M368),"NM")</f>
        <v>3.3150355659509292</v>
      </c>
      <c r="N134" s="149">
        <f t="shared" ca="1" si="53"/>
        <v>3.2556843697877218</v>
      </c>
      <c r="O134" s="149">
        <f t="shared" ca="1" si="53"/>
        <v>3.2614630487425704</v>
      </c>
      <c r="P134" s="149">
        <f t="shared" ca="1" si="53"/>
        <v>3.2614630487425709</v>
      </c>
      <c r="Q134" s="149">
        <f t="shared" ca="1" si="53"/>
        <v>3.2614630487425709</v>
      </c>
      <c r="R134" s="149">
        <f t="shared" ca="1" si="53"/>
        <v>3.2614630487425704</v>
      </c>
      <c r="S134" s="149">
        <f t="shared" ca="1" si="53"/>
        <v>3.2614630487425709</v>
      </c>
      <c r="T134" s="149">
        <f t="shared" ca="1" si="53"/>
        <v>3.2614630487425704</v>
      </c>
      <c r="U134" s="149">
        <f t="shared" ca="1" si="53"/>
        <v>3.2614630487425709</v>
      </c>
      <c r="V134" s="149">
        <f t="shared" ca="1" si="53"/>
        <v>3.2614630487425709</v>
      </c>
    </row>
    <row r="135" spans="1:22" ht="13.5" customHeight="1" outlineLevel="1">
      <c r="B135" s="38" t="s">
        <v>405</v>
      </c>
      <c r="L135" s="151"/>
      <c r="M135" s="149">
        <f t="shared" ref="M135:V135" ca="1" si="54">IF(OR(L373&gt;0,M373&gt;0),(M369-L369+(M383/M148))/AVERAGE(L373,M373),"NM")</f>
        <v>11.02648640947538</v>
      </c>
      <c r="N135" s="149">
        <f t="shared" ca="1" si="54"/>
        <v>10.425910492770596</v>
      </c>
      <c r="O135" s="149">
        <f t="shared" ca="1" si="54"/>
        <v>10.589487948891687</v>
      </c>
      <c r="P135" s="149">
        <f t="shared" ca="1" si="54"/>
        <v>10.638476185989981</v>
      </c>
      <c r="Q135" s="149">
        <f t="shared" ca="1" si="54"/>
        <v>10.638458379591674</v>
      </c>
      <c r="R135" s="149">
        <f t="shared" ca="1" si="54"/>
        <v>10.638440743507678</v>
      </c>
      <c r="S135" s="149">
        <f t="shared" ca="1" si="54"/>
        <v>10.638423275992606</v>
      </c>
      <c r="T135" s="149">
        <f t="shared" ca="1" si="54"/>
        <v>10.638405975321099</v>
      </c>
      <c r="U135" s="149">
        <f t="shared" ca="1" si="54"/>
        <v>10.63838883978754</v>
      </c>
      <c r="V135" s="149">
        <f t="shared" ca="1" si="54"/>
        <v>10.6383718677058</v>
      </c>
    </row>
    <row r="136" spans="1:22" ht="13.5" customHeight="1" outlineLevel="1">
      <c r="B136" s="38" t="s">
        <v>406</v>
      </c>
      <c r="L136" s="151"/>
      <c r="M136" s="137" t="str">
        <f ca="1">IFERROR(365/M133,"NA")</f>
        <v>NA</v>
      </c>
      <c r="N136" s="137" t="str">
        <f t="shared" ref="N136:V136" ca="1" si="55">IFERROR(365/N133,"NA")</f>
        <v>NA</v>
      </c>
      <c r="O136" s="137" t="str">
        <f t="shared" ca="1" si="55"/>
        <v>NA</v>
      </c>
      <c r="P136" s="137" t="str">
        <f t="shared" ca="1" si="55"/>
        <v>NA</v>
      </c>
      <c r="Q136" s="137" t="str">
        <f t="shared" ca="1" si="55"/>
        <v>NA</v>
      </c>
      <c r="R136" s="137" t="str">
        <f t="shared" ca="1" si="55"/>
        <v>NA</v>
      </c>
      <c r="S136" s="137" t="str">
        <f t="shared" ca="1" si="55"/>
        <v>NA</v>
      </c>
      <c r="T136" s="137" t="str">
        <f t="shared" ca="1" si="55"/>
        <v>NA</v>
      </c>
      <c r="U136" s="137" t="str">
        <f t="shared" ca="1" si="55"/>
        <v>NA</v>
      </c>
      <c r="V136" s="137" t="str">
        <f t="shared" ca="1" si="55"/>
        <v>NA</v>
      </c>
    </row>
    <row r="137" spans="1:22" ht="13.5" customHeight="1" outlineLevel="1">
      <c r="B137" s="38" t="s">
        <v>407</v>
      </c>
      <c r="L137" s="151"/>
      <c r="M137" s="137">
        <f t="shared" ref="M137:V137" ca="1" si="56">IF(M134="NM","NM",365/M134)</f>
        <v>110.10439940643548</v>
      </c>
      <c r="N137" s="137">
        <f t="shared" ca="1" si="56"/>
        <v>112.1116049784024</v>
      </c>
      <c r="O137" s="137">
        <f t="shared" ca="1" si="56"/>
        <v>111.91296499303363</v>
      </c>
      <c r="P137" s="137">
        <f t="shared" ca="1" si="56"/>
        <v>111.91296499303361</v>
      </c>
      <c r="Q137" s="137">
        <f t="shared" ca="1" si="56"/>
        <v>111.91296499303361</v>
      </c>
      <c r="R137" s="137">
        <f t="shared" ca="1" si="56"/>
        <v>111.91296499303363</v>
      </c>
      <c r="S137" s="137">
        <f t="shared" ca="1" si="56"/>
        <v>111.91296499303361</v>
      </c>
      <c r="T137" s="137">
        <f t="shared" ca="1" si="56"/>
        <v>111.91296499303363</v>
      </c>
      <c r="U137" s="137">
        <f t="shared" ca="1" si="56"/>
        <v>111.91296499303361</v>
      </c>
      <c r="V137" s="137">
        <f t="shared" ca="1" si="56"/>
        <v>111.91296499303361</v>
      </c>
    </row>
    <row r="138" spans="1:22" ht="13.5" customHeight="1" outlineLevel="1">
      <c r="B138" s="38" t="s">
        <v>408</v>
      </c>
      <c r="M138" s="137">
        <f t="shared" ref="M138:V138" ca="1" si="57">IF(M135="NM","NM",365/M135)</f>
        <v>33.102113079860587</v>
      </c>
      <c r="N138" s="137">
        <f t="shared" ca="1" si="57"/>
        <v>35.008932817243512</v>
      </c>
      <c r="O138" s="137">
        <f t="shared" ca="1" si="57"/>
        <v>34.468144424131623</v>
      </c>
      <c r="P138" s="137">
        <f t="shared" ca="1" si="57"/>
        <v>34.309424923155412</v>
      </c>
      <c r="Q138" s="137">
        <f t="shared" ca="1" si="57"/>
        <v>34.309482349453859</v>
      </c>
      <c r="R138" s="137">
        <f t="shared" ca="1" si="57"/>
        <v>34.309539226671781</v>
      </c>
      <c r="S138" s="137">
        <f t="shared" ca="1" si="57"/>
        <v>34.309595560432719</v>
      </c>
      <c r="T138" s="137">
        <f t="shared" ca="1" si="57"/>
        <v>34.309651356295717</v>
      </c>
      <c r="U138" s="137">
        <f t="shared" ca="1" si="57"/>
        <v>34.309706619756291</v>
      </c>
      <c r="V138" s="137">
        <f t="shared" ca="1" si="57"/>
        <v>34.309761356247222</v>
      </c>
    </row>
    <row r="139" spans="1:22" ht="5.0999999999999996" customHeight="1" outlineLevel="1" thickBot="1">
      <c r="B139" s="152"/>
      <c r="C139" s="152"/>
      <c r="D139" s="152"/>
      <c r="E139" s="152"/>
      <c r="F139" s="152"/>
      <c r="G139" s="152"/>
      <c r="H139" s="152"/>
      <c r="I139" s="152"/>
      <c r="J139" s="152"/>
      <c r="K139" s="152"/>
      <c r="L139" s="152"/>
      <c r="M139" s="152"/>
      <c r="N139" s="152"/>
      <c r="O139" s="152"/>
      <c r="P139" s="152"/>
      <c r="Q139" s="152"/>
      <c r="R139" s="152"/>
      <c r="S139" s="152"/>
      <c r="T139" s="152"/>
      <c r="U139" s="152"/>
      <c r="V139" s="153"/>
    </row>
    <row r="140" spans="1:22" ht="13.5" customHeight="1" outlineLevel="1">
      <c r="V140" s="135"/>
    </row>
    <row r="141" spans="1:22" ht="13.5" customHeight="1" outlineLevel="1" thickBot="1">
      <c r="V141" s="135"/>
    </row>
    <row r="142" spans="1:22" s="35" customFormat="1" ht="20.100000000000001" customHeight="1" thickTop="1">
      <c r="A142" s="41" t="s">
        <v>426</v>
      </c>
      <c r="B142" s="42" t="s">
        <v>68</v>
      </c>
      <c r="C142" s="43"/>
      <c r="D142" s="44"/>
      <c r="E142" s="44"/>
      <c r="F142" s="44"/>
      <c r="G142" s="44"/>
      <c r="H142" s="44"/>
      <c r="I142" s="44"/>
      <c r="J142" s="44"/>
      <c r="K142" s="44"/>
      <c r="L142" s="44"/>
      <c r="M142" s="44"/>
      <c r="N142" s="44"/>
      <c r="O142" s="44"/>
      <c r="P142" s="44"/>
      <c r="Q142" s="44"/>
      <c r="R142" s="44"/>
      <c r="S142" s="44"/>
      <c r="T142" s="44"/>
      <c r="U142" s="44"/>
      <c r="V142" s="44"/>
    </row>
    <row r="143" spans="1:22" s="35" customFormat="1" ht="13.5" customHeight="1" outlineLevel="1">
      <c r="B143" s="154"/>
      <c r="V143" s="155" t="str">
        <f ca="1">err_msg</f>
        <v/>
      </c>
    </row>
    <row r="144" spans="1:22" s="35" customFormat="1" ht="13.5" customHeight="1" outlineLevel="1">
      <c r="B144" s="123"/>
      <c r="C144" s="123"/>
      <c r="D144" s="124"/>
      <c r="E144" s="127" t="s">
        <v>72</v>
      </c>
      <c r="F144" s="127" t="s">
        <v>196</v>
      </c>
      <c r="G144" s="127"/>
      <c r="H144" s="127"/>
      <c r="I144" s="127"/>
      <c r="J144" s="126"/>
      <c r="K144" s="156"/>
      <c r="L144" s="126"/>
      <c r="M144" s="126" t="str">
        <f>$K$34&amp;" Quarters"</f>
        <v>3 Quarters</v>
      </c>
      <c r="N144" s="127" t="str">
        <f>"Fiscal Years Ending "&amp;TEXT(K25, "mmmm d")&amp;","</f>
        <v>Fiscal Years Ending September 30,</v>
      </c>
      <c r="O144" s="127"/>
      <c r="P144" s="127"/>
      <c r="Q144" s="127"/>
      <c r="R144" s="127"/>
      <c r="S144" s="127"/>
      <c r="T144" s="127"/>
      <c r="U144" s="127"/>
      <c r="V144" s="127"/>
    </row>
    <row r="145" spans="2:22" s="35" customFormat="1" ht="13.5" customHeight="1" outlineLevel="1">
      <c r="B145" s="123"/>
      <c r="C145" s="123"/>
      <c r="D145" s="124"/>
      <c r="E145" s="109" t="s">
        <v>193</v>
      </c>
      <c r="F145" s="109" t="s">
        <v>224</v>
      </c>
      <c r="G145" s="109" t="s">
        <v>225</v>
      </c>
      <c r="H145" s="109" t="s">
        <v>226</v>
      </c>
      <c r="I145" s="109" t="s">
        <v>227</v>
      </c>
      <c r="J145" s="126"/>
      <c r="K145" s="157"/>
      <c r="L145" s="109" t="s">
        <v>61</v>
      </c>
      <c r="M145" s="109" t="s">
        <v>69</v>
      </c>
      <c r="N145" s="501">
        <v>2</v>
      </c>
      <c r="O145" s="109">
        <f t="shared" ref="O145:V145" si="58">N145+1</f>
        <v>3</v>
      </c>
      <c r="P145" s="109">
        <f>O145+1</f>
        <v>4</v>
      </c>
      <c r="Q145" s="109">
        <f t="shared" si="58"/>
        <v>5</v>
      </c>
      <c r="R145" s="109">
        <f t="shared" si="58"/>
        <v>6</v>
      </c>
      <c r="S145" s="109">
        <f t="shared" si="58"/>
        <v>7</v>
      </c>
      <c r="T145" s="109">
        <f t="shared" si="58"/>
        <v>8</v>
      </c>
      <c r="U145" s="109">
        <f t="shared" si="58"/>
        <v>9</v>
      </c>
      <c r="V145" s="109">
        <f t="shared" si="58"/>
        <v>10</v>
      </c>
    </row>
    <row r="146" spans="2:22" s="35" customFormat="1" ht="13.5" customHeight="1" outlineLevel="1" thickBot="1">
      <c r="B146" s="130" t="s">
        <v>0</v>
      </c>
      <c r="C146" s="131"/>
      <c r="D146" s="131"/>
      <c r="E146" s="133">
        <f>K26</f>
        <v>45016</v>
      </c>
      <c r="F146" s="133">
        <f>EOMONTH(E146,3)</f>
        <v>45107</v>
      </c>
      <c r="G146" s="133">
        <f>EOMONTH(F146,3)</f>
        <v>45199</v>
      </c>
      <c r="H146" s="133">
        <f>EOMONTH(G146,3)</f>
        <v>45291</v>
      </c>
      <c r="I146" s="133">
        <f>EOMONTH(H146,3)</f>
        <v>45382</v>
      </c>
      <c r="J146" s="158"/>
      <c r="K146" s="158"/>
      <c r="L146" s="158" t="s">
        <v>271</v>
      </c>
      <c r="M146" s="133">
        <f>$K$33</f>
        <v>45565</v>
      </c>
      <c r="N146" s="134">
        <f>EOMONTH(M146,12)</f>
        <v>45930</v>
      </c>
      <c r="O146" s="134">
        <f t="shared" ref="O146:V146" si="59">EOMONTH(N146,12)</f>
        <v>46295</v>
      </c>
      <c r="P146" s="134">
        <f t="shared" si="59"/>
        <v>46660</v>
      </c>
      <c r="Q146" s="134">
        <f t="shared" si="59"/>
        <v>47026</v>
      </c>
      <c r="R146" s="134">
        <f t="shared" si="59"/>
        <v>47391</v>
      </c>
      <c r="S146" s="134">
        <f t="shared" si="59"/>
        <v>47756</v>
      </c>
      <c r="T146" s="134">
        <f t="shared" si="59"/>
        <v>48121</v>
      </c>
      <c r="U146" s="134">
        <f t="shared" si="59"/>
        <v>48487</v>
      </c>
      <c r="V146" s="134">
        <f t="shared" si="59"/>
        <v>48852</v>
      </c>
    </row>
    <row r="147" spans="2:22" s="35" customFormat="1" ht="13.5" customHeight="1" outlineLevel="1"/>
    <row r="148" spans="2:22" s="35" customFormat="1" ht="13.5" customHeight="1" outlineLevel="1">
      <c r="B148" s="35" t="s">
        <v>223</v>
      </c>
      <c r="E148" s="511">
        <v>0.25</v>
      </c>
      <c r="F148" s="159">
        <f>E148</f>
        <v>0.25</v>
      </c>
      <c r="G148" s="159">
        <f>F148</f>
        <v>0.25</v>
      </c>
      <c r="H148" s="159">
        <f>G148</f>
        <v>0.25</v>
      </c>
      <c r="I148" s="159">
        <f>H148</f>
        <v>0.25</v>
      </c>
      <c r="J148" s="160"/>
      <c r="K148" s="160"/>
      <c r="L148" s="511">
        <v>0.25</v>
      </c>
      <c r="M148" s="159">
        <f>K34/4</f>
        <v>0.75</v>
      </c>
      <c r="N148" s="511">
        <v>1</v>
      </c>
      <c r="O148" s="159">
        <f>N148</f>
        <v>1</v>
      </c>
      <c r="P148" s="159">
        <f t="shared" ref="P148:V148" si="60">O148</f>
        <v>1</v>
      </c>
      <c r="Q148" s="159">
        <f t="shared" si="60"/>
        <v>1</v>
      </c>
      <c r="R148" s="159">
        <f t="shared" si="60"/>
        <v>1</v>
      </c>
      <c r="S148" s="159">
        <f t="shared" si="60"/>
        <v>1</v>
      </c>
      <c r="T148" s="159">
        <f t="shared" si="60"/>
        <v>1</v>
      </c>
      <c r="U148" s="159">
        <f t="shared" si="60"/>
        <v>1</v>
      </c>
      <c r="V148" s="159">
        <f t="shared" si="60"/>
        <v>1</v>
      </c>
    </row>
    <row r="149" spans="2:22" s="35" customFormat="1" ht="13.5" customHeight="1" outlineLevel="1">
      <c r="E149" s="160"/>
      <c r="F149" s="160"/>
      <c r="G149" s="160"/>
      <c r="H149" s="160"/>
      <c r="I149" s="160"/>
      <c r="J149" s="160"/>
      <c r="K149" s="160"/>
      <c r="L149" s="160"/>
      <c r="M149" s="160"/>
      <c r="N149" s="160"/>
      <c r="O149" s="160"/>
      <c r="P149" s="160"/>
      <c r="Q149" s="160"/>
      <c r="R149" s="160"/>
      <c r="S149" s="160"/>
      <c r="T149" s="160"/>
      <c r="U149" s="160"/>
      <c r="V149" s="160"/>
    </row>
    <row r="150" spans="2:22" s="61" customFormat="1" ht="13.5" customHeight="1" outlineLevel="1">
      <c r="B150" s="80" t="s">
        <v>70</v>
      </c>
      <c r="C150" s="80"/>
      <c r="D150" s="161"/>
      <c r="E150" s="518">
        <v>106.7</v>
      </c>
      <c r="F150" s="518">
        <v>108.405</v>
      </c>
      <c r="G150" s="518">
        <v>110.7</v>
      </c>
      <c r="H150" s="518">
        <v>112.2</v>
      </c>
      <c r="I150" s="518">
        <v>114</v>
      </c>
      <c r="J150" s="162"/>
      <c r="K150" s="162"/>
      <c r="L150" s="162"/>
      <c r="M150" s="163">
        <f>M1179</f>
        <v>351</v>
      </c>
      <c r="N150" s="162">
        <f t="shared" ref="N150:V150" ca="1" si="61">M150/M148*(1+N210*N148)</f>
        <v>470.5</v>
      </c>
      <c r="O150" s="162">
        <f t="shared" ca="1" si="61"/>
        <v>474.69999999999993</v>
      </c>
      <c r="P150" s="162">
        <f t="shared" ca="1" si="61"/>
        <v>478.93749202975545</v>
      </c>
      <c r="Q150" s="162">
        <f t="shared" ca="1" si="61"/>
        <v>483.21281076838449</v>
      </c>
      <c r="R150" s="162">
        <f t="shared" ca="1" si="61"/>
        <v>487.52629388257617</v>
      </c>
      <c r="S150" s="162">
        <f t="shared" ca="1" si="61"/>
        <v>491.87828205326014</v>
      </c>
      <c r="T150" s="162">
        <f t="shared" ca="1" si="61"/>
        <v>496.26911900251343</v>
      </c>
      <c r="U150" s="162">
        <f t="shared" ca="1" si="61"/>
        <v>500.69915152070797</v>
      </c>
      <c r="V150" s="162">
        <f t="shared" ca="1" si="61"/>
        <v>505.16872949390023</v>
      </c>
    </row>
    <row r="151" spans="2:22" s="35" customFormat="1" ht="13.5" customHeight="1" outlineLevel="1">
      <c r="B151" s="38" t="s">
        <v>28</v>
      </c>
      <c r="C151" s="38"/>
      <c r="D151" s="164"/>
      <c r="E151" s="519">
        <v>54.7</v>
      </c>
      <c r="F151" s="519">
        <v>56.1</v>
      </c>
      <c r="G151" s="519">
        <v>56.8</v>
      </c>
      <c r="H151" s="519">
        <v>57.5</v>
      </c>
      <c r="I151" s="519">
        <v>58.4</v>
      </c>
      <c r="J151" s="137"/>
      <c r="K151" s="137"/>
      <c r="L151" s="137"/>
      <c r="M151" s="137">
        <f t="shared" ref="M151:V151" ca="1" si="62">M214*M$150</f>
        <v>187.35000000000002</v>
      </c>
      <c r="N151" s="137">
        <f t="shared" ca="1" si="62"/>
        <v>242.19999999999996</v>
      </c>
      <c r="O151" s="137">
        <f t="shared" ca="1" si="62"/>
        <v>242.20000000000002</v>
      </c>
      <c r="P151" s="137">
        <f t="shared" ca="1" si="62"/>
        <v>244.45130712008495</v>
      </c>
      <c r="Q151" s="137">
        <f t="shared" ca="1" si="62"/>
        <v>246.72271092434497</v>
      </c>
      <c r="R151" s="137">
        <f t="shared" ca="1" si="62"/>
        <v>249.01439080932317</v>
      </c>
      <c r="S151" s="137">
        <f t="shared" ca="1" si="62"/>
        <v>251.32652777297702</v>
      </c>
      <c r="T151" s="137">
        <f t="shared" ca="1" si="62"/>
        <v>253.65930442897385</v>
      </c>
      <c r="U151" s="137">
        <f t="shared" ca="1" si="62"/>
        <v>256.01290502111345</v>
      </c>
      <c r="V151" s="137">
        <f t="shared" ca="1" si="62"/>
        <v>258.38751543788004</v>
      </c>
    </row>
    <row r="152" spans="2:22" s="35" customFormat="1" ht="13.5" customHeight="1" outlineLevel="1">
      <c r="B152" s="52" t="s">
        <v>189</v>
      </c>
      <c r="C152" s="52"/>
      <c r="D152" s="165"/>
      <c r="E152" s="166">
        <f>E150-E151</f>
        <v>52</v>
      </c>
      <c r="F152" s="166">
        <f>F150-F151</f>
        <v>52.305</v>
      </c>
      <c r="G152" s="166">
        <f>G150-G151</f>
        <v>53.900000000000006</v>
      </c>
      <c r="H152" s="166">
        <f>H150-H151</f>
        <v>54.7</v>
      </c>
      <c r="I152" s="166">
        <f>I150-I151</f>
        <v>55.6</v>
      </c>
      <c r="J152" s="166"/>
      <c r="K152" s="166"/>
      <c r="L152" s="166"/>
      <c r="M152" s="166">
        <f t="shared" ref="M152" ca="1" si="63">M150-M151</f>
        <v>163.64999999999998</v>
      </c>
      <c r="N152" s="166">
        <f t="shared" ref="N152" ca="1" si="64">N150-N151</f>
        <v>228.30000000000004</v>
      </c>
      <c r="O152" s="166">
        <f t="shared" ref="O152" ca="1" si="65">O150-O151</f>
        <v>232.49999999999991</v>
      </c>
      <c r="P152" s="166">
        <f t="shared" ref="P152" ca="1" si="66">P150-P151</f>
        <v>234.4861849096705</v>
      </c>
      <c r="Q152" s="166">
        <f t="shared" ref="Q152" ca="1" si="67">Q150-Q151</f>
        <v>236.49009984403952</v>
      </c>
      <c r="R152" s="166">
        <f t="shared" ref="R152" ca="1" si="68">R150-R151</f>
        <v>238.511903073253</v>
      </c>
      <c r="S152" s="166">
        <f t="shared" ref="S152" ca="1" si="69">S150-S151</f>
        <v>240.55175428028312</v>
      </c>
      <c r="T152" s="166">
        <f t="shared" ref="T152" ca="1" si="70">T150-T151</f>
        <v>242.60981457353958</v>
      </c>
      <c r="U152" s="166">
        <f t="shared" ref="U152" ca="1" si="71">U150-U151</f>
        <v>244.68624649959452</v>
      </c>
      <c r="V152" s="166">
        <f t="shared" ref="V152" ca="1" si="72">V150-V151</f>
        <v>246.78121405602019</v>
      </c>
    </row>
    <row r="153" spans="2:22" s="35" customFormat="1" ht="13.5" customHeight="1" outlineLevel="1">
      <c r="B153" s="38" t="s">
        <v>29</v>
      </c>
      <c r="C153" s="38"/>
      <c r="D153" s="164"/>
      <c r="E153" s="519">
        <v>20.2</v>
      </c>
      <c r="F153" s="519">
        <v>20.7</v>
      </c>
      <c r="G153" s="519">
        <v>21</v>
      </c>
      <c r="H153" s="519">
        <v>21.2</v>
      </c>
      <c r="I153" s="519">
        <v>21.6</v>
      </c>
      <c r="J153" s="137"/>
      <c r="K153" s="137"/>
      <c r="L153" s="137"/>
      <c r="M153" s="137">
        <f t="shared" ref="M153:V153" ca="1" si="73">M150*M215</f>
        <v>68.775000000000006</v>
      </c>
      <c r="N153" s="137">
        <f t="shared" ca="1" si="73"/>
        <v>72.400000000000006</v>
      </c>
      <c r="O153" s="137">
        <f t="shared" ca="1" si="73"/>
        <v>72.399999999999991</v>
      </c>
      <c r="P153" s="137">
        <f t="shared" ca="1" si="73"/>
        <v>73.224824654622722</v>
      </c>
      <c r="Q153" s="137">
        <f t="shared" ca="1" si="73"/>
        <v>74.057012249839332</v>
      </c>
      <c r="R153" s="137">
        <f t="shared" ca="1" si="73"/>
        <v>74.896628512218328</v>
      </c>
      <c r="S153" s="137">
        <f t="shared" ca="1" si="73"/>
        <v>75.743739755047898</v>
      </c>
      <c r="T153" s="137">
        <f t="shared" ca="1" si="73"/>
        <v>76.598412883573303</v>
      </c>
      <c r="U153" s="137">
        <f t="shared" ca="1" si="73"/>
        <v>77.46071540028106</v>
      </c>
      <c r="V153" s="137">
        <f t="shared" ca="1" si="73"/>
        <v>78.330715410230425</v>
      </c>
    </row>
    <row r="154" spans="2:22" s="61" customFormat="1" ht="13.5" customHeight="1" outlineLevel="1">
      <c r="B154" s="167" t="s">
        <v>21</v>
      </c>
      <c r="C154" s="167"/>
      <c r="D154" s="168"/>
      <c r="E154" s="169">
        <f>E152-E153</f>
        <v>31.8</v>
      </c>
      <c r="F154" s="169">
        <f>F152-F153</f>
        <v>31.605</v>
      </c>
      <c r="G154" s="169">
        <f>G152-G153</f>
        <v>32.900000000000006</v>
      </c>
      <c r="H154" s="169">
        <f>H152-H153</f>
        <v>33.5</v>
      </c>
      <c r="I154" s="169">
        <f>I152-I153</f>
        <v>34</v>
      </c>
      <c r="J154" s="169"/>
      <c r="K154" s="169"/>
      <c r="L154" s="169"/>
      <c r="M154" s="169">
        <f t="shared" ref="M154:V154" ca="1" si="74">M152-M153</f>
        <v>94.874999999999972</v>
      </c>
      <c r="N154" s="169">
        <f t="shared" ca="1" si="74"/>
        <v>155.90000000000003</v>
      </c>
      <c r="O154" s="169">
        <f t="shared" ca="1" si="74"/>
        <v>160.09999999999991</v>
      </c>
      <c r="P154" s="169">
        <f t="shared" ca="1" si="74"/>
        <v>161.26136025504778</v>
      </c>
      <c r="Q154" s="169">
        <f t="shared" ca="1" si="74"/>
        <v>162.43308759420017</v>
      </c>
      <c r="R154" s="169">
        <f t="shared" ca="1" si="74"/>
        <v>163.61527456103465</v>
      </c>
      <c r="S154" s="169">
        <f t="shared" ca="1" si="74"/>
        <v>164.80801452523522</v>
      </c>
      <c r="T154" s="169">
        <f t="shared" ca="1" si="74"/>
        <v>166.01140168996628</v>
      </c>
      <c r="U154" s="169">
        <f t="shared" ca="1" si="74"/>
        <v>167.22553109931346</v>
      </c>
      <c r="V154" s="169">
        <f t="shared" ca="1" si="74"/>
        <v>168.45049864578976</v>
      </c>
    </row>
    <row r="155" spans="2:22" s="35" customFormat="1" ht="13.5" customHeight="1" outlineLevel="1">
      <c r="B155" s="35" t="s">
        <v>33</v>
      </c>
      <c r="C155" s="38"/>
      <c r="D155" s="164"/>
      <c r="E155" s="519">
        <v>3.3</v>
      </c>
      <c r="F155" s="519">
        <v>3.3</v>
      </c>
      <c r="G155" s="519">
        <v>3.3</v>
      </c>
      <c r="H155" s="519">
        <v>3.3</v>
      </c>
      <c r="I155" s="519">
        <v>3.3</v>
      </c>
      <c r="J155" s="137"/>
      <c r="K155" s="137"/>
      <c r="L155" s="137"/>
      <c r="M155" s="170">
        <f t="shared" ref="M155:V155" ca="1" si="75">M959</f>
        <v>12.182142857142857</v>
      </c>
      <c r="N155" s="170">
        <f t="shared" ca="1" si="75"/>
        <v>16.242857142857144</v>
      </c>
      <c r="O155" s="170">
        <f t="shared" ca="1" si="75"/>
        <v>16.24285714285714</v>
      </c>
      <c r="P155" s="170">
        <f t="shared" ca="1" si="75"/>
        <v>16.368723242750868</v>
      </c>
      <c r="Q155" s="170">
        <f t="shared" ca="1" si="75"/>
        <v>16.495712908254703</v>
      </c>
      <c r="R155" s="170">
        <f t="shared" ca="1" si="75"/>
        <v>16.623836169072277</v>
      </c>
      <c r="S155" s="170">
        <f t="shared" ca="1" si="75"/>
        <v>16.753103144439127</v>
      </c>
      <c r="T155" s="170">
        <f t="shared" ca="1" si="75"/>
        <v>15.276381186779041</v>
      </c>
      <c r="U155" s="170">
        <f t="shared" ca="1" si="75"/>
        <v>14.872252025367564</v>
      </c>
      <c r="V155" s="170">
        <f t="shared" ca="1" si="75"/>
        <v>15.00501176714555</v>
      </c>
    </row>
    <row r="156" spans="2:22" s="35" customFormat="1" ht="13.5" customHeight="1" outlineLevel="1">
      <c r="B156" s="52" t="s">
        <v>31</v>
      </c>
      <c r="C156" s="52"/>
      <c r="D156" s="87"/>
      <c r="E156" s="171">
        <f>E154-E155</f>
        <v>28.5</v>
      </c>
      <c r="F156" s="171">
        <f>F154-F155</f>
        <v>28.305</v>
      </c>
      <c r="G156" s="171">
        <f>G154-G155</f>
        <v>29.600000000000005</v>
      </c>
      <c r="H156" s="171">
        <f>H154-H155</f>
        <v>30.2</v>
      </c>
      <c r="I156" s="171">
        <f>I154-I155</f>
        <v>30.7</v>
      </c>
      <c r="J156" s="171"/>
      <c r="K156" s="171"/>
      <c r="L156" s="171"/>
      <c r="M156" s="171">
        <f t="shared" ref="M156:V156" ca="1" si="76">M154-M155</f>
        <v>82.692857142857122</v>
      </c>
      <c r="N156" s="171">
        <f t="shared" ca="1" si="76"/>
        <v>139.6571428571429</v>
      </c>
      <c r="O156" s="171">
        <f t="shared" ca="1" si="76"/>
        <v>143.85714285714278</v>
      </c>
      <c r="P156" s="171">
        <f t="shared" ca="1" si="76"/>
        <v>144.89263701229692</v>
      </c>
      <c r="Q156" s="171">
        <f t="shared" ca="1" si="76"/>
        <v>145.93737468594549</v>
      </c>
      <c r="R156" s="171">
        <f t="shared" ca="1" si="76"/>
        <v>146.99143839196239</v>
      </c>
      <c r="S156" s="171">
        <f t="shared" ca="1" si="76"/>
        <v>148.05491138079609</v>
      </c>
      <c r="T156" s="171">
        <f t="shared" ca="1" si="76"/>
        <v>150.73502050318723</v>
      </c>
      <c r="U156" s="171">
        <f t="shared" ca="1" si="76"/>
        <v>152.35327907394588</v>
      </c>
      <c r="V156" s="171">
        <f t="shared" ca="1" si="76"/>
        <v>153.4454868786442</v>
      </c>
    </row>
    <row r="157" spans="2:22" s="35" customFormat="1" ht="13.5" customHeight="1" outlineLevel="1">
      <c r="B157" s="35" t="s">
        <v>34</v>
      </c>
      <c r="D157" s="164"/>
      <c r="E157" s="519">
        <v>4.5</v>
      </c>
      <c r="F157" s="519">
        <v>4.5</v>
      </c>
      <c r="G157" s="519">
        <v>4.5</v>
      </c>
      <c r="H157" s="519">
        <v>4.5</v>
      </c>
      <c r="I157" s="519">
        <v>4.5</v>
      </c>
      <c r="J157" s="172"/>
      <c r="K157" s="172"/>
      <c r="L157" s="137"/>
      <c r="M157" s="170">
        <f t="shared" ref="M157:V157" ca="1" si="77">M982</f>
        <v>31.343302633359372</v>
      </c>
      <c r="N157" s="170">
        <f t="shared" ca="1" si="77"/>
        <v>41.891070177812495</v>
      </c>
      <c r="O157" s="170">
        <f t="shared" ca="1" si="77"/>
        <v>41.891070177812495</v>
      </c>
      <c r="P157" s="170">
        <f t="shared" ca="1" si="77"/>
        <v>42.069603652839064</v>
      </c>
      <c r="Q157" s="170">
        <f t="shared" ca="1" si="77"/>
        <v>42.249730837950878</v>
      </c>
      <c r="R157" s="170">
        <f ca="1">R982</f>
        <v>26.013163326318569</v>
      </c>
      <c r="S157" s="170">
        <f t="shared" ca="1" si="77"/>
        <v>20.723753193733309</v>
      </c>
      <c r="T157" s="170">
        <f t="shared" ca="1" si="77"/>
        <v>20.908747377396814</v>
      </c>
      <c r="U157" s="170">
        <f t="shared" ca="1" si="77"/>
        <v>21.095392943783779</v>
      </c>
      <c r="V157" s="170">
        <f t="shared" ca="1" si="77"/>
        <v>21.283704634249009</v>
      </c>
    </row>
    <row r="158" spans="2:22" s="35" customFormat="1" ht="13.5" customHeight="1" outlineLevel="1">
      <c r="B158" s="35" t="s">
        <v>148</v>
      </c>
      <c r="D158" s="164"/>
      <c r="E158" s="519">
        <v>2.9</v>
      </c>
      <c r="F158" s="137">
        <f>F156-F157-F159</f>
        <v>2.004999999999999</v>
      </c>
      <c r="G158" s="137">
        <f t="shared" ref="G158:I158" si="78">G156-G157-G159</f>
        <v>2.9000000000000057</v>
      </c>
      <c r="H158" s="137">
        <f t="shared" si="78"/>
        <v>3.0999999999999979</v>
      </c>
      <c r="I158" s="137">
        <f t="shared" si="78"/>
        <v>3.0999999999999979</v>
      </c>
      <c r="J158" s="172"/>
      <c r="K158" s="172"/>
      <c r="L158" s="137"/>
      <c r="M158" s="170">
        <f t="shared" ref="M158:V158" ca="1" si="79">M150*M218</f>
        <v>7.95</v>
      </c>
      <c r="N158" s="170">
        <f t="shared" ca="1" si="79"/>
        <v>10.7</v>
      </c>
      <c r="O158" s="170">
        <f t="shared" ca="1" si="79"/>
        <v>10.699999999999998</v>
      </c>
      <c r="P158" s="170">
        <f t="shared" ca="1" si="79"/>
        <v>10.79551540913921</v>
      </c>
      <c r="Q158" s="170">
        <f t="shared" ca="1" si="79"/>
        <v>10.891883453174033</v>
      </c>
      <c r="R158" s="170">
        <f t="shared" ca="1" si="79"/>
        <v>10.989111743298009</v>
      </c>
      <c r="S158" s="170">
        <f t="shared" ca="1" si="79"/>
        <v>11.087207958647321</v>
      </c>
      <c r="T158" s="170">
        <f t="shared" ca="1" si="79"/>
        <v>11.186179846907295</v>
      </c>
      <c r="U158" s="170">
        <f t="shared" ca="1" si="79"/>
        <v>11.286035224924321</v>
      </c>
      <c r="V158" s="170">
        <f t="shared" ca="1" si="79"/>
        <v>11.386781979323219</v>
      </c>
    </row>
    <row r="159" spans="2:22" s="61" customFormat="1" ht="13.5" customHeight="1" outlineLevel="1">
      <c r="B159" s="167" t="s">
        <v>30</v>
      </c>
      <c r="C159" s="167"/>
      <c r="D159" s="168"/>
      <c r="E159" s="169">
        <f>E156-SUM(E157:E158)</f>
        <v>21.1</v>
      </c>
      <c r="F159" s="520">
        <v>21.8</v>
      </c>
      <c r="G159" s="520">
        <v>22.2</v>
      </c>
      <c r="H159" s="520">
        <v>22.6</v>
      </c>
      <c r="I159" s="520">
        <v>23.1</v>
      </c>
      <c r="J159" s="169"/>
      <c r="K159" s="169"/>
      <c r="L159" s="169"/>
      <c r="M159" s="169">
        <f t="shared" ref="M159:V159" ca="1" si="80">M156-SUM(M157:M158)</f>
        <v>43.399554509497747</v>
      </c>
      <c r="N159" s="169">
        <f t="shared" ca="1" si="80"/>
        <v>87.066072679330404</v>
      </c>
      <c r="O159" s="169">
        <f t="shared" ca="1" si="80"/>
        <v>91.266072679330279</v>
      </c>
      <c r="P159" s="169">
        <f t="shared" ca="1" si="80"/>
        <v>92.027517950318639</v>
      </c>
      <c r="Q159" s="169">
        <f t="shared" ca="1" si="80"/>
        <v>92.795760394820576</v>
      </c>
      <c r="R159" s="169">
        <f t="shared" ca="1" si="80"/>
        <v>109.9891633223458</v>
      </c>
      <c r="S159" s="169">
        <f t="shared" ca="1" si="80"/>
        <v>116.24395022841546</v>
      </c>
      <c r="T159" s="169">
        <f t="shared" ca="1" si="80"/>
        <v>118.64009327888311</v>
      </c>
      <c r="U159" s="169">
        <f t="shared" ca="1" si="80"/>
        <v>119.97185090523779</v>
      </c>
      <c r="V159" s="169">
        <f t="shared" ca="1" si="80"/>
        <v>120.77500026507198</v>
      </c>
    </row>
    <row r="160" spans="2:22" s="35" customFormat="1" ht="13.5" customHeight="1" outlineLevel="1">
      <c r="B160" s="150" t="s">
        <v>147</v>
      </c>
      <c r="C160" s="38"/>
      <c r="D160" s="38"/>
      <c r="E160" s="148"/>
      <c r="F160" s="148"/>
      <c r="G160" s="148"/>
      <c r="H160" s="148"/>
      <c r="I160" s="148"/>
      <c r="J160" s="148"/>
      <c r="K160" s="148"/>
      <c r="L160" s="148"/>
      <c r="M160" s="173"/>
      <c r="N160" s="148"/>
      <c r="O160" s="148"/>
      <c r="P160" s="148"/>
      <c r="Q160" s="148"/>
      <c r="R160" s="148"/>
      <c r="S160" s="148"/>
      <c r="T160" s="148"/>
      <c r="U160" s="148"/>
      <c r="V160" s="148"/>
    </row>
    <row r="161" spans="2:22" s="35" customFormat="1" ht="13.5" customHeight="1" outlineLevel="1">
      <c r="B161" s="88" t="s">
        <v>360</v>
      </c>
      <c r="D161" s="164"/>
      <c r="E161" s="521">
        <v>0</v>
      </c>
      <c r="F161" s="137">
        <f>E161</f>
        <v>0</v>
      </c>
      <c r="G161" s="137">
        <f>F161</f>
        <v>0</v>
      </c>
      <c r="H161" s="137">
        <f>G161</f>
        <v>0</v>
      </c>
      <c r="I161" s="137">
        <f>H161</f>
        <v>0</v>
      </c>
      <c r="J161" s="160"/>
      <c r="K161" s="160"/>
      <c r="L161" s="137"/>
      <c r="M161" s="137">
        <f t="shared" ref="M161:V161" ca="1" si="81">-M876</f>
        <v>-0.75</v>
      </c>
      <c r="N161" s="137">
        <f t="shared" ca="1" si="81"/>
        <v>-1.1085264471836909</v>
      </c>
      <c r="O161" s="137">
        <f t="shared" ca="1" si="81"/>
        <v>-2.0601953730340541</v>
      </c>
      <c r="P161" s="137">
        <f t="shared" ca="1" si="81"/>
        <v>-3.0569100303217533</v>
      </c>
      <c r="Q161" s="137">
        <f t="shared" ca="1" si="81"/>
        <v>-4.0598651969505575</v>
      </c>
      <c r="R161" s="137">
        <f t="shared" ca="1" si="81"/>
        <v>-5.0639392440259989</v>
      </c>
      <c r="S161" s="137">
        <f t="shared" ca="1" si="81"/>
        <v>-5.5211042502983627</v>
      </c>
      <c r="T161" s="137">
        <f t="shared" ca="1" si="81"/>
        <v>-6.501840615496743</v>
      </c>
      <c r="U161" s="137">
        <f t="shared" ca="1" si="81"/>
        <v>-6.4899472750485598</v>
      </c>
      <c r="V161" s="137">
        <f t="shared" ca="1" si="81"/>
        <v>-7.5591255677183016</v>
      </c>
    </row>
    <row r="162" spans="2:22" s="35" customFormat="1" ht="13.5" customHeight="1" outlineLevel="1">
      <c r="B162" s="88" t="s">
        <v>347</v>
      </c>
      <c r="C162" s="38"/>
      <c r="D162" s="164"/>
      <c r="E162" s="521">
        <v>8.1999999999999993</v>
      </c>
      <c r="F162" s="137">
        <f>F878</f>
        <v>8.1937499999999996</v>
      </c>
      <c r="G162" s="137">
        <f t="shared" ref="G162:I162" si="82">G878</f>
        <v>8.1937499999999996</v>
      </c>
      <c r="H162" s="137">
        <f t="shared" si="82"/>
        <v>8.1937499999999996</v>
      </c>
      <c r="I162" s="137">
        <f t="shared" si="82"/>
        <v>8.1937499999999996</v>
      </c>
      <c r="J162" s="148"/>
      <c r="K162" s="148"/>
      <c r="L162" s="137"/>
      <c r="M162" s="137">
        <f ca="1">M878</f>
        <v>0</v>
      </c>
      <c r="N162" s="137">
        <f ca="1">N878</f>
        <v>0</v>
      </c>
      <c r="O162" s="137">
        <f t="shared" ref="O162:V162" ca="1" si="83">O878</f>
        <v>0</v>
      </c>
      <c r="P162" s="137">
        <f t="shared" ca="1" si="83"/>
        <v>0</v>
      </c>
      <c r="Q162" s="137">
        <f t="shared" ca="1" si="83"/>
        <v>0</v>
      </c>
      <c r="R162" s="137">
        <f t="shared" ca="1" si="83"/>
        <v>0</v>
      </c>
      <c r="S162" s="137">
        <f t="shared" ca="1" si="83"/>
        <v>0</v>
      </c>
      <c r="T162" s="137">
        <f t="shared" ca="1" si="83"/>
        <v>0</v>
      </c>
      <c r="U162" s="137">
        <f t="shared" ca="1" si="83"/>
        <v>0</v>
      </c>
      <c r="V162" s="137">
        <f t="shared" ca="1" si="83"/>
        <v>0</v>
      </c>
    </row>
    <row r="163" spans="2:22" s="35" customFormat="1" ht="13.5" customHeight="1" outlineLevel="1">
      <c r="B163" s="88" t="s">
        <v>26</v>
      </c>
      <c r="C163" s="38"/>
      <c r="D163" s="164"/>
      <c r="E163" s="521">
        <v>0</v>
      </c>
      <c r="F163" s="137">
        <f t="shared" ref="F163:I169" si="84">E163</f>
        <v>0</v>
      </c>
      <c r="G163" s="137">
        <f t="shared" si="84"/>
        <v>0</v>
      </c>
      <c r="H163" s="137">
        <f t="shared" si="84"/>
        <v>0</v>
      </c>
      <c r="I163" s="137">
        <f t="shared" si="84"/>
        <v>0</v>
      </c>
      <c r="J163" s="148"/>
      <c r="K163" s="148"/>
      <c r="L163" s="137"/>
      <c r="M163" s="137">
        <f t="shared" ref="M163:V163" si="85">M879</f>
        <v>0.375</v>
      </c>
      <c r="N163" s="137">
        <f ca="1">N879</f>
        <v>0.5</v>
      </c>
      <c r="O163" s="137">
        <f t="shared" ca="1" si="85"/>
        <v>0.5</v>
      </c>
      <c r="P163" s="137">
        <f t="shared" ca="1" si="85"/>
        <v>0.5</v>
      </c>
      <c r="Q163" s="137">
        <f t="shared" ca="1" si="85"/>
        <v>0.5</v>
      </c>
      <c r="R163" s="137">
        <f t="shared" ca="1" si="85"/>
        <v>0.5</v>
      </c>
      <c r="S163" s="137">
        <f t="shared" ca="1" si="85"/>
        <v>0.5</v>
      </c>
      <c r="T163" s="137">
        <f t="shared" ca="1" si="85"/>
        <v>0.5</v>
      </c>
      <c r="U163" s="137">
        <f t="shared" ca="1" si="85"/>
        <v>0.5</v>
      </c>
      <c r="V163" s="137">
        <f t="shared" ca="1" si="85"/>
        <v>0.5</v>
      </c>
    </row>
    <row r="164" spans="2:22" s="35" customFormat="1" ht="13.5" customHeight="1" outlineLevel="1">
      <c r="B164" s="88" t="str">
        <f t="shared" ref="B164:B171" si="86">B1302</f>
        <v>Term loan - A</v>
      </c>
      <c r="C164" s="38"/>
      <c r="D164" s="164"/>
      <c r="E164" s="521">
        <v>0</v>
      </c>
      <c r="F164" s="137">
        <f t="shared" si="84"/>
        <v>0</v>
      </c>
      <c r="G164" s="137">
        <f t="shared" si="84"/>
        <v>0</v>
      </c>
      <c r="H164" s="137">
        <f t="shared" si="84"/>
        <v>0</v>
      </c>
      <c r="I164" s="137">
        <f t="shared" si="84"/>
        <v>0</v>
      </c>
      <c r="J164" s="148"/>
      <c r="K164" s="148"/>
      <c r="L164" s="137"/>
      <c r="M164" s="137">
        <f>M880</f>
        <v>2.8387499999999992</v>
      </c>
      <c r="N164" s="137">
        <f t="shared" ref="N164:V164" ca="1" si="87">N880</f>
        <v>0</v>
      </c>
      <c r="O164" s="137">
        <f t="shared" ca="1" si="87"/>
        <v>0</v>
      </c>
      <c r="P164" s="137">
        <f t="shared" ca="1" si="87"/>
        <v>0</v>
      </c>
      <c r="Q164" s="137">
        <f t="shared" ca="1" si="87"/>
        <v>0</v>
      </c>
      <c r="R164" s="137">
        <f t="shared" ca="1" si="87"/>
        <v>0</v>
      </c>
      <c r="S164" s="137">
        <f t="shared" ca="1" si="87"/>
        <v>0</v>
      </c>
      <c r="T164" s="137">
        <f t="shared" ca="1" si="87"/>
        <v>0</v>
      </c>
      <c r="U164" s="137">
        <f t="shared" ca="1" si="87"/>
        <v>0</v>
      </c>
      <c r="V164" s="137">
        <f t="shared" ca="1" si="87"/>
        <v>0</v>
      </c>
    </row>
    <row r="165" spans="2:22" s="35" customFormat="1" ht="13.5" customHeight="1" outlineLevel="1">
      <c r="B165" s="88" t="str">
        <f t="shared" si="86"/>
        <v>Term loan - B</v>
      </c>
      <c r="C165" s="38"/>
      <c r="D165" s="164"/>
      <c r="E165" s="521">
        <v>0</v>
      </c>
      <c r="F165" s="137">
        <f t="shared" si="84"/>
        <v>0</v>
      </c>
      <c r="G165" s="137">
        <f t="shared" si="84"/>
        <v>0</v>
      </c>
      <c r="H165" s="137">
        <f t="shared" si="84"/>
        <v>0</v>
      </c>
      <c r="I165" s="137">
        <f t="shared" si="84"/>
        <v>0</v>
      </c>
      <c r="J165" s="148"/>
      <c r="K165" s="148"/>
      <c r="L165" s="137"/>
      <c r="M165" s="137">
        <f t="shared" ref="M165:V167" si="88">M881</f>
        <v>0</v>
      </c>
      <c r="N165" s="137">
        <f t="shared" ca="1" si="88"/>
        <v>0</v>
      </c>
      <c r="O165" s="137">
        <f t="shared" ca="1" si="88"/>
        <v>0</v>
      </c>
      <c r="P165" s="137">
        <f t="shared" ca="1" si="88"/>
        <v>0</v>
      </c>
      <c r="Q165" s="137">
        <f t="shared" ca="1" si="88"/>
        <v>0</v>
      </c>
      <c r="R165" s="137">
        <f t="shared" ca="1" si="88"/>
        <v>0</v>
      </c>
      <c r="S165" s="137">
        <f t="shared" ca="1" si="88"/>
        <v>0</v>
      </c>
      <c r="T165" s="137">
        <f t="shared" ca="1" si="88"/>
        <v>0</v>
      </c>
      <c r="U165" s="137">
        <f t="shared" ca="1" si="88"/>
        <v>0</v>
      </c>
      <c r="V165" s="137">
        <f t="shared" ca="1" si="88"/>
        <v>0</v>
      </c>
    </row>
    <row r="166" spans="2:22" s="35" customFormat="1" ht="13.5" customHeight="1" outlineLevel="1">
      <c r="B166" s="88" t="str">
        <f t="shared" si="86"/>
        <v>Senior note</v>
      </c>
      <c r="C166" s="38"/>
      <c r="D166" s="164"/>
      <c r="E166" s="521">
        <v>0</v>
      </c>
      <c r="F166" s="137">
        <f t="shared" si="84"/>
        <v>0</v>
      </c>
      <c r="G166" s="137">
        <f t="shared" si="84"/>
        <v>0</v>
      </c>
      <c r="H166" s="137">
        <f t="shared" si="84"/>
        <v>0</v>
      </c>
      <c r="I166" s="137">
        <f t="shared" si="84"/>
        <v>0</v>
      </c>
      <c r="J166" s="148"/>
      <c r="K166" s="148"/>
      <c r="L166" s="137"/>
      <c r="M166" s="137">
        <f t="shared" si="88"/>
        <v>7.8974999999999991</v>
      </c>
      <c r="N166" s="137">
        <f t="shared" ca="1" si="88"/>
        <v>10.96555</v>
      </c>
      <c r="O166" s="137">
        <f t="shared" ca="1" si="88"/>
        <v>11.489725</v>
      </c>
      <c r="P166" s="137">
        <f t="shared" ca="1" si="88"/>
        <v>11.910400000000001</v>
      </c>
      <c r="Q166" s="137">
        <f t="shared" ca="1" si="88"/>
        <v>11.386175000000001</v>
      </c>
      <c r="R166" s="137">
        <f t="shared" ca="1" si="88"/>
        <v>11.3315</v>
      </c>
      <c r="S166" s="137">
        <f t="shared" ca="1" si="88"/>
        <v>11.480550000000001</v>
      </c>
      <c r="T166" s="137">
        <f t="shared" ca="1" si="88"/>
        <v>11.612350000000001</v>
      </c>
      <c r="U166" s="137">
        <f t="shared" ca="1" si="88"/>
        <v>0</v>
      </c>
      <c r="V166" s="137">
        <f t="shared" ca="1" si="88"/>
        <v>0</v>
      </c>
    </row>
    <row r="167" spans="2:22" s="35" customFormat="1" ht="13.5" customHeight="1" outlineLevel="1">
      <c r="B167" s="88" t="str">
        <f t="shared" si="86"/>
        <v>Subordinated note</v>
      </c>
      <c r="C167" s="38"/>
      <c r="D167" s="164"/>
      <c r="E167" s="521">
        <v>0</v>
      </c>
      <c r="F167" s="137">
        <f t="shared" si="84"/>
        <v>0</v>
      </c>
      <c r="G167" s="137">
        <f t="shared" si="84"/>
        <v>0</v>
      </c>
      <c r="H167" s="137">
        <f t="shared" si="84"/>
        <v>0</v>
      </c>
      <c r="I167" s="137">
        <f t="shared" si="84"/>
        <v>0</v>
      </c>
      <c r="J167" s="148"/>
      <c r="K167" s="148"/>
      <c r="L167" s="137"/>
      <c r="M167" s="137">
        <f t="shared" si="88"/>
        <v>4.3125</v>
      </c>
      <c r="N167" s="137">
        <f t="shared" ca="1" si="88"/>
        <v>5.75</v>
      </c>
      <c r="O167" s="137">
        <f t="shared" ca="1" si="88"/>
        <v>5.75</v>
      </c>
      <c r="P167" s="137">
        <f t="shared" ca="1" si="88"/>
        <v>5.75</v>
      </c>
      <c r="Q167" s="137">
        <f t="shared" ca="1" si="88"/>
        <v>5.28125</v>
      </c>
      <c r="R167" s="137">
        <f t="shared" ca="1" si="88"/>
        <v>5.125</v>
      </c>
      <c r="S167" s="137">
        <f t="shared" ca="1" si="88"/>
        <v>0</v>
      </c>
      <c r="T167" s="137">
        <f t="shared" ca="1" si="88"/>
        <v>0</v>
      </c>
      <c r="U167" s="137">
        <f t="shared" ca="1" si="88"/>
        <v>0</v>
      </c>
      <c r="V167" s="137">
        <f t="shared" ca="1" si="88"/>
        <v>0</v>
      </c>
    </row>
    <row r="168" spans="2:22" s="35" customFormat="1" ht="13.5" customHeight="1" outlineLevel="1">
      <c r="B168" s="88" t="str">
        <f t="shared" si="86"/>
        <v>Mezzanine</v>
      </c>
      <c r="C168" s="38"/>
      <c r="D168" s="164"/>
      <c r="E168" s="521">
        <v>0</v>
      </c>
      <c r="F168" s="137">
        <f t="shared" si="84"/>
        <v>0</v>
      </c>
      <c r="G168" s="137">
        <f t="shared" si="84"/>
        <v>0</v>
      </c>
      <c r="H168" s="137">
        <f t="shared" si="84"/>
        <v>0</v>
      </c>
      <c r="I168" s="137">
        <f t="shared" si="84"/>
        <v>0</v>
      </c>
      <c r="J168" s="148"/>
      <c r="K168" s="148"/>
      <c r="L168" s="137"/>
      <c r="M168" s="137">
        <f t="shared" ref="M168:V168" si="89">M884</f>
        <v>0</v>
      </c>
      <c r="N168" s="137">
        <f t="shared" ca="1" si="89"/>
        <v>0</v>
      </c>
      <c r="O168" s="137">
        <f t="shared" ca="1" si="89"/>
        <v>0</v>
      </c>
      <c r="P168" s="137">
        <f t="shared" ca="1" si="89"/>
        <v>0</v>
      </c>
      <c r="Q168" s="137">
        <f t="shared" ca="1" si="89"/>
        <v>0</v>
      </c>
      <c r="R168" s="137">
        <f t="shared" ca="1" si="89"/>
        <v>0</v>
      </c>
      <c r="S168" s="137">
        <f t="shared" ca="1" si="89"/>
        <v>0</v>
      </c>
      <c r="T168" s="137">
        <f t="shared" ca="1" si="89"/>
        <v>0</v>
      </c>
      <c r="U168" s="137">
        <f t="shared" ca="1" si="89"/>
        <v>0</v>
      </c>
      <c r="V168" s="137">
        <f t="shared" ca="1" si="89"/>
        <v>0</v>
      </c>
    </row>
    <row r="169" spans="2:22" s="35" customFormat="1" ht="13.5" customHeight="1" outlineLevel="1">
      <c r="B169" s="88" t="str">
        <f t="shared" si="86"/>
        <v>Seller note</v>
      </c>
      <c r="C169" s="38"/>
      <c r="D169" s="164"/>
      <c r="E169" s="521">
        <v>0</v>
      </c>
      <c r="F169" s="137">
        <f t="shared" si="84"/>
        <v>0</v>
      </c>
      <c r="G169" s="137">
        <f t="shared" si="84"/>
        <v>0</v>
      </c>
      <c r="H169" s="137">
        <f t="shared" si="84"/>
        <v>0</v>
      </c>
      <c r="I169" s="137">
        <f t="shared" si="84"/>
        <v>0</v>
      </c>
      <c r="J169" s="148"/>
      <c r="K169" s="148"/>
      <c r="L169" s="137"/>
      <c r="M169" s="137">
        <f t="shared" ref="M169:V169" si="90">M885</f>
        <v>0</v>
      </c>
      <c r="N169" s="137">
        <f t="shared" ca="1" si="90"/>
        <v>0</v>
      </c>
      <c r="O169" s="137">
        <f t="shared" ca="1" si="90"/>
        <v>0</v>
      </c>
      <c r="P169" s="137">
        <f t="shared" ca="1" si="90"/>
        <v>0</v>
      </c>
      <c r="Q169" s="137">
        <f t="shared" ca="1" si="90"/>
        <v>0</v>
      </c>
      <c r="R169" s="137">
        <f t="shared" ca="1" si="90"/>
        <v>0</v>
      </c>
      <c r="S169" s="137">
        <f t="shared" ca="1" si="90"/>
        <v>0</v>
      </c>
      <c r="T169" s="137">
        <f t="shared" ca="1" si="90"/>
        <v>0</v>
      </c>
      <c r="U169" s="137">
        <f t="shared" ca="1" si="90"/>
        <v>0</v>
      </c>
      <c r="V169" s="137">
        <f t="shared" ca="1" si="90"/>
        <v>0</v>
      </c>
    </row>
    <row r="170" spans="2:22" s="35" customFormat="1" ht="13.5" customHeight="1" outlineLevel="1">
      <c r="B170" s="88" t="str">
        <f t="shared" si="86"/>
        <v>Convertible bond</v>
      </c>
      <c r="C170" s="38"/>
      <c r="D170" s="164"/>
      <c r="E170" s="521">
        <v>0</v>
      </c>
      <c r="F170" s="137">
        <f t="shared" ref="F170:I170" si="91">E170</f>
        <v>0</v>
      </c>
      <c r="G170" s="137">
        <f t="shared" si="91"/>
        <v>0</v>
      </c>
      <c r="H170" s="137">
        <f t="shared" si="91"/>
        <v>0</v>
      </c>
      <c r="I170" s="137">
        <f t="shared" si="91"/>
        <v>0</v>
      </c>
      <c r="J170" s="148"/>
      <c r="K170" s="148"/>
      <c r="L170" s="137"/>
      <c r="M170" s="137">
        <f t="shared" ref="M170:V170" si="92">M886</f>
        <v>0</v>
      </c>
      <c r="N170" s="137">
        <f t="shared" ca="1" si="92"/>
        <v>0</v>
      </c>
      <c r="O170" s="137">
        <f t="shared" ca="1" si="92"/>
        <v>0</v>
      </c>
      <c r="P170" s="137">
        <f t="shared" ca="1" si="92"/>
        <v>0</v>
      </c>
      <c r="Q170" s="137">
        <f t="shared" ca="1" si="92"/>
        <v>0</v>
      </c>
      <c r="R170" s="137">
        <f t="shared" ca="1" si="92"/>
        <v>0</v>
      </c>
      <c r="S170" s="137">
        <f t="shared" ca="1" si="92"/>
        <v>0</v>
      </c>
      <c r="T170" s="137">
        <f t="shared" ca="1" si="92"/>
        <v>0</v>
      </c>
      <c r="U170" s="137">
        <f t="shared" ca="1" si="92"/>
        <v>0</v>
      </c>
      <c r="V170" s="137">
        <f t="shared" ca="1" si="92"/>
        <v>0</v>
      </c>
    </row>
    <row r="171" spans="2:22" s="35" customFormat="1" ht="13.5" customHeight="1" outlineLevel="1">
      <c r="B171" s="88" t="str">
        <f t="shared" si="86"/>
        <v>[Debt 8]</v>
      </c>
      <c r="C171" s="38"/>
      <c r="D171" s="164"/>
      <c r="E171" s="521">
        <v>0</v>
      </c>
      <c r="F171" s="137">
        <f t="shared" ref="F171:I171" si="93">E171</f>
        <v>0</v>
      </c>
      <c r="G171" s="137">
        <f t="shared" si="93"/>
        <v>0</v>
      </c>
      <c r="H171" s="137">
        <f t="shared" si="93"/>
        <v>0</v>
      </c>
      <c r="I171" s="137">
        <f t="shared" si="93"/>
        <v>0</v>
      </c>
      <c r="J171" s="148"/>
      <c r="K171" s="148"/>
      <c r="L171" s="137"/>
      <c r="M171" s="137">
        <f t="shared" ref="M171:V171" si="94">M887</f>
        <v>0</v>
      </c>
      <c r="N171" s="137">
        <f ca="1">N887</f>
        <v>0</v>
      </c>
      <c r="O171" s="137">
        <f t="shared" ca="1" si="94"/>
        <v>0</v>
      </c>
      <c r="P171" s="137">
        <f t="shared" ca="1" si="94"/>
        <v>0</v>
      </c>
      <c r="Q171" s="137">
        <f t="shared" ca="1" si="94"/>
        <v>0</v>
      </c>
      <c r="R171" s="137">
        <f t="shared" ca="1" si="94"/>
        <v>0</v>
      </c>
      <c r="S171" s="137">
        <f t="shared" ca="1" si="94"/>
        <v>0</v>
      </c>
      <c r="T171" s="137">
        <f t="shared" ca="1" si="94"/>
        <v>0</v>
      </c>
      <c r="U171" s="137">
        <f t="shared" ca="1" si="94"/>
        <v>0</v>
      </c>
      <c r="V171" s="137">
        <f t="shared" ca="1" si="94"/>
        <v>0</v>
      </c>
    </row>
    <row r="172" spans="2:22" s="35" customFormat="1" ht="13.5" customHeight="1" outlineLevel="1">
      <c r="B172" s="52" t="s">
        <v>424</v>
      </c>
      <c r="C172" s="52"/>
      <c r="D172" s="165"/>
      <c r="E172" s="166">
        <f ca="1">SUM(E161:OFFSET(E172,-1,0))</f>
        <v>8.1999999999999993</v>
      </c>
      <c r="F172" s="166">
        <f ca="1">SUM(F161:OFFSET(F172,-1,0))</f>
        <v>8.1937499999999996</v>
      </c>
      <c r="G172" s="166">
        <f ca="1">SUM(G161:OFFSET(G172,-1,0))</f>
        <v>8.1937499999999996</v>
      </c>
      <c r="H172" s="166">
        <f ca="1">SUM(H161:OFFSET(H172,-1,0))</f>
        <v>8.1937499999999996</v>
      </c>
      <c r="I172" s="166">
        <f ca="1">SUM(I161:OFFSET(I172,-1,0))</f>
        <v>8.1937499999999996</v>
      </c>
      <c r="J172" s="174"/>
      <c r="K172" s="174"/>
      <c r="L172" s="166"/>
      <c r="M172" s="166">
        <f ca="1">SUM(M161:OFFSET(M172,-1,0))</f>
        <v>14.673749999999998</v>
      </c>
      <c r="N172" s="166">
        <f ca="1">SUM(N161:OFFSET(N172,-1,0))</f>
        <v>16.107023552816308</v>
      </c>
      <c r="O172" s="166">
        <f ca="1">SUM(O161:OFFSET(O172,-1,0))</f>
        <v>15.679529626965946</v>
      </c>
      <c r="P172" s="166">
        <f ca="1">SUM(P161:OFFSET(P172,-1,0))</f>
        <v>15.103489969678247</v>
      </c>
      <c r="Q172" s="166">
        <f ca="1">SUM(Q161:OFFSET(Q172,-1,0))</f>
        <v>13.107559803049444</v>
      </c>
      <c r="R172" s="166">
        <f ca="1">SUM(R161:OFFSET(R172,-1,0))</f>
        <v>11.892560755974001</v>
      </c>
      <c r="S172" s="166">
        <f ca="1">SUM(S161:OFFSET(S172,-1,0))</f>
        <v>6.4594457497016382</v>
      </c>
      <c r="T172" s="166">
        <f ca="1">SUM(T161:OFFSET(T172,-1,0))</f>
        <v>5.6105093845032581</v>
      </c>
      <c r="U172" s="166">
        <f ca="1">SUM(U161:OFFSET(U172,-1,0))</f>
        <v>-5.9899472750485598</v>
      </c>
      <c r="V172" s="166">
        <f ca="1">SUM(V161:OFFSET(V172,-1,0))</f>
        <v>-7.0591255677183016</v>
      </c>
    </row>
    <row r="173" spans="2:22" s="35" customFormat="1" ht="13.5" customHeight="1" outlineLevel="1">
      <c r="B173" s="62" t="s">
        <v>146</v>
      </c>
      <c r="D173" s="164"/>
      <c r="E173" s="521">
        <v>0</v>
      </c>
      <c r="F173" s="137">
        <f t="shared" ref="F173:I177" si="95">E173</f>
        <v>0</v>
      </c>
      <c r="G173" s="137">
        <f t="shared" si="95"/>
        <v>0</v>
      </c>
      <c r="H173" s="137">
        <f t="shared" si="95"/>
        <v>0</v>
      </c>
      <c r="I173" s="137">
        <f t="shared" si="95"/>
        <v>0</v>
      </c>
      <c r="J173" s="160"/>
      <c r="K173" s="160"/>
      <c r="L173" s="137"/>
      <c r="M173" s="137">
        <f t="shared" ref="M173:V173" ca="1" si="96">M915</f>
        <v>0.81428571428571439</v>
      </c>
      <c r="N173" s="137">
        <f t="shared" ca="1" si="96"/>
        <v>1.0857142857142856</v>
      </c>
      <c r="O173" s="137">
        <f t="shared" ca="1" si="96"/>
        <v>1.0857142857142856</v>
      </c>
      <c r="P173" s="137">
        <f t="shared" ca="1" si="96"/>
        <v>1.0857142857142856</v>
      </c>
      <c r="Q173" s="137">
        <f t="shared" ca="1" si="96"/>
        <v>1.0857142857142856</v>
      </c>
      <c r="R173" s="137">
        <f t="shared" ca="1" si="96"/>
        <v>0.67321428571428565</v>
      </c>
      <c r="S173" s="137">
        <f t="shared" ca="1" si="96"/>
        <v>0.5357142857142857</v>
      </c>
      <c r="T173" s="137">
        <f t="shared" ca="1" si="96"/>
        <v>0.13392857142857162</v>
      </c>
      <c r="U173" s="137">
        <f t="shared" ca="1" si="96"/>
        <v>0</v>
      </c>
      <c r="V173" s="137">
        <f t="shared" ca="1" si="96"/>
        <v>0</v>
      </c>
    </row>
    <row r="174" spans="2:22" s="35" customFormat="1" ht="13.5" customHeight="1" outlineLevel="1">
      <c r="B174" s="62" t="s">
        <v>358</v>
      </c>
      <c r="D174" s="164"/>
      <c r="E174" s="521">
        <v>0</v>
      </c>
      <c r="F174" s="137">
        <f t="shared" si="95"/>
        <v>0</v>
      </c>
      <c r="G174" s="137">
        <f t="shared" si="95"/>
        <v>0</v>
      </c>
      <c r="H174" s="137">
        <f t="shared" si="95"/>
        <v>0</v>
      </c>
      <c r="I174" s="137">
        <f t="shared" si="95"/>
        <v>0</v>
      </c>
      <c r="J174" s="160"/>
      <c r="K174" s="160"/>
      <c r="L174" s="137"/>
      <c r="M174" s="137">
        <f t="shared" ref="M174:V174" ca="1" si="97">M832</f>
        <v>0</v>
      </c>
      <c r="N174" s="137">
        <f t="shared" ca="1" si="97"/>
        <v>0</v>
      </c>
      <c r="O174" s="137">
        <f t="shared" ca="1" si="97"/>
        <v>0</v>
      </c>
      <c r="P174" s="137">
        <f t="shared" ca="1" si="97"/>
        <v>0</v>
      </c>
      <c r="Q174" s="137">
        <f t="shared" ca="1" si="97"/>
        <v>0</v>
      </c>
      <c r="R174" s="137">
        <f t="shared" ca="1" si="97"/>
        <v>0</v>
      </c>
      <c r="S174" s="137">
        <f t="shared" ca="1" si="97"/>
        <v>0</v>
      </c>
      <c r="T174" s="137">
        <f t="shared" ca="1" si="97"/>
        <v>0</v>
      </c>
      <c r="U174" s="137">
        <f t="shared" ca="1" si="97"/>
        <v>0</v>
      </c>
      <c r="V174" s="137">
        <f t="shared" ca="1" si="97"/>
        <v>0</v>
      </c>
    </row>
    <row r="175" spans="2:22" s="35" customFormat="1" ht="13.5" customHeight="1" outlineLevel="1">
      <c r="B175" s="38" t="s">
        <v>428</v>
      </c>
      <c r="D175" s="164"/>
      <c r="E175" s="521">
        <v>0</v>
      </c>
      <c r="F175" s="137">
        <f>F410</f>
        <v>0</v>
      </c>
      <c r="G175" s="137">
        <f t="shared" ref="G175:I175" si="98">G410</f>
        <v>0</v>
      </c>
      <c r="H175" s="137">
        <f t="shared" si="98"/>
        <v>0</v>
      </c>
      <c r="I175" s="137">
        <f t="shared" si="98"/>
        <v>0</v>
      </c>
      <c r="J175" s="160"/>
      <c r="K175" s="160"/>
      <c r="L175" s="137"/>
      <c r="M175" s="137">
        <f t="shared" ref="M175:V175" si="99">M410</f>
        <v>0</v>
      </c>
      <c r="N175" s="137">
        <f t="shared" si="99"/>
        <v>0</v>
      </c>
      <c r="O175" s="137">
        <f t="shared" si="99"/>
        <v>0</v>
      </c>
      <c r="P175" s="137">
        <f t="shared" si="99"/>
        <v>0</v>
      </c>
      <c r="Q175" s="137">
        <f t="shared" si="99"/>
        <v>0</v>
      </c>
      <c r="R175" s="137">
        <f t="shared" si="99"/>
        <v>0</v>
      </c>
      <c r="S175" s="137">
        <f t="shared" si="99"/>
        <v>0</v>
      </c>
      <c r="T175" s="137">
        <f t="shared" si="99"/>
        <v>0</v>
      </c>
      <c r="U175" s="137">
        <f t="shared" si="99"/>
        <v>0</v>
      </c>
      <c r="V175" s="137">
        <f t="shared" si="99"/>
        <v>0</v>
      </c>
    </row>
    <row r="176" spans="2:22" s="35" customFormat="1" ht="13.5" customHeight="1" outlineLevel="1">
      <c r="B176" s="62" t="s">
        <v>145</v>
      </c>
      <c r="D176" s="164"/>
      <c r="E176" s="521">
        <v>0</v>
      </c>
      <c r="F176" s="137">
        <f t="shared" si="95"/>
        <v>0</v>
      </c>
      <c r="G176" s="137">
        <f t="shared" si="95"/>
        <v>0</v>
      </c>
      <c r="H176" s="137">
        <f t="shared" si="95"/>
        <v>0</v>
      </c>
      <c r="I176" s="137">
        <f t="shared" si="95"/>
        <v>0</v>
      </c>
      <c r="J176" s="160"/>
      <c r="K176" s="160"/>
      <c r="L176" s="137"/>
      <c r="M176" s="137">
        <f t="shared" ref="M176:V176" si="100">sponsor_fee*M148*LBO</f>
        <v>0</v>
      </c>
      <c r="N176" s="137">
        <f t="shared" si="100"/>
        <v>0</v>
      </c>
      <c r="O176" s="137">
        <f t="shared" si="100"/>
        <v>0</v>
      </c>
      <c r="P176" s="137">
        <f t="shared" si="100"/>
        <v>0</v>
      </c>
      <c r="Q176" s="137">
        <f t="shared" si="100"/>
        <v>0</v>
      </c>
      <c r="R176" s="137">
        <f t="shared" si="100"/>
        <v>0</v>
      </c>
      <c r="S176" s="137">
        <f t="shared" si="100"/>
        <v>0</v>
      </c>
      <c r="T176" s="137">
        <f t="shared" si="100"/>
        <v>0</v>
      </c>
      <c r="U176" s="137">
        <f t="shared" si="100"/>
        <v>0</v>
      </c>
      <c r="V176" s="137">
        <f t="shared" si="100"/>
        <v>0</v>
      </c>
    </row>
    <row r="177" spans="2:22" s="35" customFormat="1" ht="13.5" customHeight="1" outlineLevel="1">
      <c r="B177" s="62" t="s">
        <v>143</v>
      </c>
      <c r="D177" s="164"/>
      <c r="E177" s="521">
        <v>0</v>
      </c>
      <c r="F177" s="137">
        <f t="shared" si="95"/>
        <v>0</v>
      </c>
      <c r="G177" s="137">
        <f t="shared" si="95"/>
        <v>0</v>
      </c>
      <c r="H177" s="137">
        <f t="shared" si="95"/>
        <v>0</v>
      </c>
      <c r="I177" s="137">
        <f t="shared" si="95"/>
        <v>0</v>
      </c>
      <c r="J177" s="160"/>
      <c r="K177" s="160"/>
      <c r="L177" s="137"/>
      <c r="M177" s="521">
        <v>0</v>
      </c>
      <c r="N177" s="170">
        <f>M177</f>
        <v>0</v>
      </c>
      <c r="O177" s="170">
        <f>N177</f>
        <v>0</v>
      </c>
      <c r="P177" s="170">
        <f t="shared" ref="P177:V177" si="101">O177</f>
        <v>0</v>
      </c>
      <c r="Q177" s="170">
        <f t="shared" si="101"/>
        <v>0</v>
      </c>
      <c r="R177" s="170">
        <f t="shared" si="101"/>
        <v>0</v>
      </c>
      <c r="S177" s="170">
        <f t="shared" si="101"/>
        <v>0</v>
      </c>
      <c r="T177" s="170">
        <f t="shared" si="101"/>
        <v>0</v>
      </c>
      <c r="U177" s="170">
        <f t="shared" si="101"/>
        <v>0</v>
      </c>
      <c r="V177" s="170">
        <f t="shared" si="101"/>
        <v>0</v>
      </c>
    </row>
    <row r="178" spans="2:22" s="61" customFormat="1" ht="13.5" customHeight="1" outlineLevel="1">
      <c r="B178" s="167" t="s">
        <v>144</v>
      </c>
      <c r="C178" s="167"/>
      <c r="D178" s="175"/>
      <c r="E178" s="176">
        <f ca="1">E159-SUM(E172:E174)+E175-SUM(E176:E177)</f>
        <v>12.900000000000002</v>
      </c>
      <c r="F178" s="176">
        <f t="shared" ref="F178:I178" ca="1" si="102">F159-SUM(F172:F174)+F175-SUM(F176:F177)</f>
        <v>13.606250000000001</v>
      </c>
      <c r="G178" s="176">
        <f t="shared" ca="1" si="102"/>
        <v>14.00625</v>
      </c>
      <c r="H178" s="176">
        <f t="shared" ca="1" si="102"/>
        <v>14.406250000000002</v>
      </c>
      <c r="I178" s="176">
        <f t="shared" ca="1" si="102"/>
        <v>14.906250000000002</v>
      </c>
      <c r="J178" s="177"/>
      <c r="K178" s="177"/>
      <c r="L178" s="176"/>
      <c r="M178" s="176">
        <f t="shared" ref="M178" ca="1" si="103">M159-SUM(M172:M174)+M175-SUM(M176:M177)</f>
        <v>27.911518795212032</v>
      </c>
      <c r="N178" s="176">
        <f t="shared" ref="N178" ca="1" si="104">N159-SUM(N172:N174)+N175-SUM(N176:N177)</f>
        <v>69.873334840799814</v>
      </c>
      <c r="O178" s="176">
        <f t="shared" ref="O178" ca="1" si="105">O159-SUM(O172:O174)+O175-SUM(O176:O177)</f>
        <v>74.500828766650045</v>
      </c>
      <c r="P178" s="176">
        <f t="shared" ref="P178" ca="1" si="106">P159-SUM(P172:P174)+P175-SUM(P176:P177)</f>
        <v>75.838313694926114</v>
      </c>
      <c r="Q178" s="176">
        <f t="shared" ref="Q178" ca="1" si="107">Q159-SUM(Q172:Q174)+Q175-SUM(Q176:Q177)</f>
        <v>78.602486306056846</v>
      </c>
      <c r="R178" s="176">
        <f t="shared" ref="R178" ca="1" si="108">R159-SUM(R172:R174)+R175-SUM(R176:R177)</f>
        <v>97.42338828065752</v>
      </c>
      <c r="S178" s="176">
        <f t="shared" ref="S178" ca="1" si="109">S159-SUM(S172:S174)+S175-SUM(S176:S177)</f>
        <v>109.24879019299954</v>
      </c>
      <c r="T178" s="176">
        <f t="shared" ref="T178" ca="1" si="110">T159-SUM(T172:T174)+T175-SUM(T176:T177)</f>
        <v>112.89565532295128</v>
      </c>
      <c r="U178" s="176">
        <f t="shared" ref="U178" ca="1" si="111">U159-SUM(U172:U174)+U175-SUM(U176:U177)</f>
        <v>125.96179818028635</v>
      </c>
      <c r="V178" s="176">
        <f t="shared" ref="V178" ca="1" si="112">V159-SUM(V172:V174)+V175-SUM(V176:V177)</f>
        <v>127.83412583279028</v>
      </c>
    </row>
    <row r="179" spans="2:22" s="35" customFormat="1" ht="13.5" customHeight="1" outlineLevel="1">
      <c r="B179" s="38" t="s">
        <v>425</v>
      </c>
      <c r="C179" s="38"/>
      <c r="D179" s="164"/>
      <c r="E179" s="519">
        <v>4.5149999999999997</v>
      </c>
      <c r="F179" s="137">
        <f ca="1">F178*F235-F420</f>
        <v>4.762228318750001</v>
      </c>
      <c r="G179" s="137">
        <f ca="1">G178*G235-G420</f>
        <v>4.9022295187500005</v>
      </c>
      <c r="H179" s="137">
        <f ca="1">H178*H235-H420</f>
        <v>5.0422307187500017</v>
      </c>
      <c r="I179" s="137">
        <f ca="1">I178*I235-I420</f>
        <v>5.2172322187500013</v>
      </c>
      <c r="J179" s="160"/>
      <c r="K179" s="160"/>
      <c r="L179" s="137"/>
      <c r="M179" s="137">
        <f t="shared" ref="M179:V179" ca="1" si="113">M178*M235-M420</f>
        <v>9.769115312880599</v>
      </c>
      <c r="N179" s="137">
        <f t="shared" ca="1" si="113"/>
        <v>24.455876814284462</v>
      </c>
      <c r="O179" s="137">
        <f t="shared" ca="1" si="113"/>
        <v>26.075513570813822</v>
      </c>
      <c r="P179" s="137">
        <f t="shared" ca="1" si="113"/>
        <v>26.543637308165231</v>
      </c>
      <c r="Q179" s="137">
        <f t="shared" ca="1" si="113"/>
        <v>27.511106014578818</v>
      </c>
      <c r="R179" s="137">
        <f t="shared" ca="1" si="113"/>
        <v>34.098478168394983</v>
      </c>
      <c r="S179" s="137">
        <f t="shared" ca="1" si="113"/>
        <v>38.237404313920422</v>
      </c>
      <c r="T179" s="137">
        <f t="shared" ca="1" si="113"/>
        <v>39.513818049998925</v>
      </c>
      <c r="U179" s="137">
        <f t="shared" ca="1" si="113"/>
        <v>44.087007248494771</v>
      </c>
      <c r="V179" s="137">
        <f t="shared" ca="1" si="113"/>
        <v>44.742327543854103</v>
      </c>
    </row>
    <row r="180" spans="2:22" s="61" customFormat="1" ht="13.5" customHeight="1" outlineLevel="1">
      <c r="B180" s="167" t="s">
        <v>323</v>
      </c>
      <c r="C180" s="167"/>
      <c r="D180" s="175"/>
      <c r="E180" s="176">
        <f ca="1">E178-E179</f>
        <v>8.3850000000000016</v>
      </c>
      <c r="F180" s="176">
        <f t="shared" ref="F180:I180" ca="1" si="114">F178-F179</f>
        <v>8.8440216812500001</v>
      </c>
      <c r="G180" s="176">
        <f t="shared" ca="1" si="114"/>
        <v>9.1040204812500001</v>
      </c>
      <c r="H180" s="176">
        <f t="shared" ca="1" si="114"/>
        <v>9.36401928125</v>
      </c>
      <c r="I180" s="176">
        <f t="shared" ca="1" si="114"/>
        <v>9.6890177812500013</v>
      </c>
      <c r="J180" s="177"/>
      <c r="K180" s="177"/>
      <c r="L180" s="176"/>
      <c r="M180" s="176">
        <f t="shared" ref="M180:V180" ca="1" si="115">M178-M179</f>
        <v>18.142403482331432</v>
      </c>
      <c r="N180" s="176">
        <f t="shared" ca="1" si="115"/>
        <v>45.417458026515348</v>
      </c>
      <c r="O180" s="176">
        <f t="shared" ca="1" si="115"/>
        <v>48.42531519583622</v>
      </c>
      <c r="P180" s="176">
        <f t="shared" ca="1" si="115"/>
        <v>49.294676386760884</v>
      </c>
      <c r="Q180" s="176">
        <f t="shared" ca="1" si="115"/>
        <v>51.091380291478032</v>
      </c>
      <c r="R180" s="176">
        <f t="shared" ca="1" si="115"/>
        <v>63.324910112262536</v>
      </c>
      <c r="S180" s="176">
        <f t="shared" ca="1" si="115"/>
        <v>71.011385879079114</v>
      </c>
      <c r="T180" s="176">
        <f t="shared" ca="1" si="115"/>
        <v>73.381837272952367</v>
      </c>
      <c r="U180" s="176">
        <f t="shared" ca="1" si="115"/>
        <v>81.87479093179158</v>
      </c>
      <c r="V180" s="176">
        <f t="shared" ca="1" si="115"/>
        <v>83.091798288936175</v>
      </c>
    </row>
    <row r="181" spans="2:22" s="35" customFormat="1" ht="13.5" customHeight="1" outlineLevel="1">
      <c r="B181" s="38" t="str">
        <f>B24&amp;" dividend"</f>
        <v>Preferred stock - A dividend</v>
      </c>
      <c r="C181" s="38"/>
      <c r="D181" s="164"/>
      <c r="E181" s="521">
        <v>0</v>
      </c>
      <c r="F181" s="137">
        <f t="shared" ref="F181:I183" si="116">E181</f>
        <v>0</v>
      </c>
      <c r="G181" s="137">
        <f t="shared" si="116"/>
        <v>0</v>
      </c>
      <c r="H181" s="137">
        <f t="shared" si="116"/>
        <v>0</v>
      </c>
      <c r="I181" s="137">
        <f t="shared" si="116"/>
        <v>0</v>
      </c>
      <c r="J181" s="148"/>
      <c r="K181" s="148"/>
      <c r="L181" s="137"/>
      <c r="M181" s="137">
        <f>M888</f>
        <v>0.99374999999999991</v>
      </c>
      <c r="N181" s="137">
        <f t="shared" ref="N181:V182" ca="1" si="117">N888</f>
        <v>1.44425</v>
      </c>
      <c r="O181" s="137">
        <f t="shared" ca="1" si="117"/>
        <v>1.6175600000000001</v>
      </c>
      <c r="P181" s="137">
        <f t="shared" ca="1" si="117"/>
        <v>1.8116671999999998</v>
      </c>
      <c r="Q181" s="137">
        <f t="shared" ca="1" si="117"/>
        <v>1.7722672159999999</v>
      </c>
      <c r="R181" s="137">
        <f t="shared" ca="1" si="117"/>
        <v>1.7410172159999999</v>
      </c>
      <c r="S181" s="137">
        <f t="shared" ca="1" si="117"/>
        <v>1.7410172159999999</v>
      </c>
      <c r="T181" s="137">
        <f t="shared" ca="1" si="117"/>
        <v>1.7410172159999999</v>
      </c>
      <c r="U181" s="137">
        <f t="shared" ca="1" si="117"/>
        <v>1.7410172159999999</v>
      </c>
      <c r="V181" s="137">
        <f t="shared" ca="1" si="117"/>
        <v>1.7410172159999999</v>
      </c>
    </row>
    <row r="182" spans="2:22" s="35" customFormat="1" ht="13.5" customHeight="1" outlineLevel="1">
      <c r="B182" s="38" t="str">
        <f>B25&amp;" dividend"</f>
        <v>Preferred stock - B dividend</v>
      </c>
      <c r="C182" s="38"/>
      <c r="D182" s="164"/>
      <c r="E182" s="521">
        <v>0</v>
      </c>
      <c r="F182" s="137">
        <f t="shared" si="116"/>
        <v>0</v>
      </c>
      <c r="G182" s="137">
        <f t="shared" si="116"/>
        <v>0</v>
      </c>
      <c r="H182" s="137">
        <f t="shared" si="116"/>
        <v>0</v>
      </c>
      <c r="I182" s="137">
        <f t="shared" si="116"/>
        <v>0</v>
      </c>
      <c r="J182" s="148"/>
      <c r="K182" s="148"/>
      <c r="L182" s="137"/>
      <c r="M182" s="137">
        <f>M889</f>
        <v>0</v>
      </c>
      <c r="N182" s="137">
        <f t="shared" ca="1" si="117"/>
        <v>0</v>
      </c>
      <c r="O182" s="137">
        <f t="shared" ca="1" si="117"/>
        <v>0</v>
      </c>
      <c r="P182" s="137">
        <f t="shared" ca="1" si="117"/>
        <v>0</v>
      </c>
      <c r="Q182" s="137">
        <f t="shared" ca="1" si="117"/>
        <v>0</v>
      </c>
      <c r="R182" s="137">
        <f t="shared" ca="1" si="117"/>
        <v>0</v>
      </c>
      <c r="S182" s="137">
        <f t="shared" ca="1" si="117"/>
        <v>0</v>
      </c>
      <c r="T182" s="137">
        <f t="shared" ca="1" si="117"/>
        <v>0</v>
      </c>
      <c r="U182" s="137">
        <f t="shared" ca="1" si="117"/>
        <v>0</v>
      </c>
      <c r="V182" s="137">
        <f t="shared" ca="1" si="117"/>
        <v>0</v>
      </c>
    </row>
    <row r="183" spans="2:22" s="35" customFormat="1" ht="13.5" customHeight="1" outlineLevel="1">
      <c r="B183" s="38" t="s">
        <v>160</v>
      </c>
      <c r="C183" s="38"/>
      <c r="D183" s="164"/>
      <c r="E183" s="521">
        <v>0</v>
      </c>
      <c r="F183" s="137">
        <f t="shared" si="116"/>
        <v>0</v>
      </c>
      <c r="G183" s="137">
        <f t="shared" si="116"/>
        <v>0</v>
      </c>
      <c r="H183" s="137">
        <f t="shared" si="116"/>
        <v>0</v>
      </c>
      <c r="I183" s="137">
        <f t="shared" si="116"/>
        <v>0</v>
      </c>
      <c r="J183" s="148"/>
      <c r="K183" s="148"/>
      <c r="L183" s="137"/>
      <c r="M183" s="519">
        <v>0</v>
      </c>
      <c r="N183" s="170">
        <f>M183</f>
        <v>0</v>
      </c>
      <c r="O183" s="170">
        <f t="shared" ref="O183:V183" si="118">N183</f>
        <v>0</v>
      </c>
      <c r="P183" s="170">
        <f t="shared" si="118"/>
        <v>0</v>
      </c>
      <c r="Q183" s="170">
        <f t="shared" si="118"/>
        <v>0</v>
      </c>
      <c r="R183" s="170">
        <f t="shared" si="118"/>
        <v>0</v>
      </c>
      <c r="S183" s="170">
        <f t="shared" si="118"/>
        <v>0</v>
      </c>
      <c r="T183" s="170">
        <f t="shared" si="118"/>
        <v>0</v>
      </c>
      <c r="U183" s="170">
        <f t="shared" si="118"/>
        <v>0</v>
      </c>
      <c r="V183" s="170">
        <f t="shared" si="118"/>
        <v>0</v>
      </c>
    </row>
    <row r="184" spans="2:22" s="61" customFormat="1" ht="13.5" customHeight="1" outlineLevel="1">
      <c r="B184" s="104" t="s">
        <v>535</v>
      </c>
      <c r="C184" s="104"/>
      <c r="D184" s="178"/>
      <c r="E184" s="179">
        <f ca="1">E180-SUM(E181:E183)</f>
        <v>8.3850000000000016</v>
      </c>
      <c r="F184" s="179">
        <f ca="1">F180-SUM(F181:F183)</f>
        <v>8.8440216812500001</v>
      </c>
      <c r="G184" s="179">
        <f ca="1">G180-SUM(G181:G183)</f>
        <v>9.1040204812500001</v>
      </c>
      <c r="H184" s="179">
        <f ca="1">H180-SUM(H181:H183)</f>
        <v>9.36401928125</v>
      </c>
      <c r="I184" s="179">
        <f ca="1">I180-SUM(I181:I183)</f>
        <v>9.6890177812500013</v>
      </c>
      <c r="J184" s="180"/>
      <c r="K184" s="180"/>
      <c r="L184" s="181"/>
      <c r="M184" s="179">
        <f t="shared" ref="M184:V184" ca="1" si="119">M180-SUM(M181:M183)</f>
        <v>17.148653482331433</v>
      </c>
      <c r="N184" s="179">
        <f t="shared" ca="1" si="119"/>
        <v>43.973208026515351</v>
      </c>
      <c r="O184" s="179">
        <f t="shared" ca="1" si="119"/>
        <v>46.807755195836222</v>
      </c>
      <c r="P184" s="179">
        <f t="shared" ca="1" si="119"/>
        <v>47.483009186760881</v>
      </c>
      <c r="Q184" s="179">
        <f t="shared" ca="1" si="119"/>
        <v>49.319113075478029</v>
      </c>
      <c r="R184" s="179">
        <f t="shared" ca="1" si="119"/>
        <v>61.583892896262533</v>
      </c>
      <c r="S184" s="179">
        <f t="shared" ca="1" si="119"/>
        <v>69.270368663079111</v>
      </c>
      <c r="T184" s="179">
        <f t="shared" ca="1" si="119"/>
        <v>71.640820056952364</v>
      </c>
      <c r="U184" s="179">
        <f t="shared" ca="1" si="119"/>
        <v>80.133773715791577</v>
      </c>
      <c r="V184" s="179">
        <f t="shared" ca="1" si="119"/>
        <v>81.350781072936172</v>
      </c>
    </row>
    <row r="185" spans="2:22" s="35" customFormat="1" outlineLevel="1">
      <c r="E185" s="160"/>
      <c r="F185" s="160"/>
      <c r="G185" s="160"/>
      <c r="H185" s="160"/>
      <c r="I185" s="160"/>
      <c r="J185" s="160"/>
      <c r="K185" s="160"/>
      <c r="L185" s="160"/>
      <c r="M185" s="160"/>
      <c r="N185" s="160"/>
      <c r="O185" s="160"/>
      <c r="P185" s="160"/>
      <c r="Q185" s="160"/>
      <c r="R185" s="160"/>
      <c r="S185" s="160"/>
      <c r="T185" s="160"/>
      <c r="U185" s="160"/>
      <c r="V185" s="160"/>
    </row>
    <row r="186" spans="2:22" s="35" customFormat="1" outlineLevel="1">
      <c r="B186" s="150" t="s">
        <v>696</v>
      </c>
      <c r="C186" s="38"/>
      <c r="D186" s="38"/>
      <c r="E186" s="160"/>
      <c r="F186" s="160"/>
      <c r="G186" s="160"/>
      <c r="H186" s="160"/>
      <c r="I186" s="160"/>
      <c r="J186" s="160"/>
      <c r="K186" s="160"/>
      <c r="L186" s="160"/>
      <c r="M186" s="160"/>
      <c r="N186" s="160"/>
      <c r="O186" s="160"/>
      <c r="P186" s="160"/>
      <c r="Q186" s="160"/>
      <c r="R186" s="160"/>
      <c r="S186" s="160"/>
      <c r="T186" s="160"/>
      <c r="U186" s="160"/>
      <c r="V186" s="160"/>
    </row>
    <row r="187" spans="2:22" s="35" customFormat="1" outlineLevel="1">
      <c r="B187" s="38" t="s">
        <v>692</v>
      </c>
      <c r="C187" s="38"/>
      <c r="D187" s="38"/>
      <c r="E187" s="68">
        <f t="shared" ref="E187:I188" ca="1" si="120">E157*(1-E$235)</f>
        <v>2.9250000000000007</v>
      </c>
      <c r="F187" s="68">
        <f t="shared" si="120"/>
        <v>2.9249864999999997</v>
      </c>
      <c r="G187" s="68">
        <f t="shared" si="120"/>
        <v>2.9249864999999997</v>
      </c>
      <c r="H187" s="68">
        <f t="shared" si="120"/>
        <v>2.9249864999999997</v>
      </c>
      <c r="I187" s="68">
        <f t="shared" si="120"/>
        <v>2.9249864999999997</v>
      </c>
      <c r="J187" s="160"/>
      <c r="K187" s="160"/>
      <c r="L187" s="160"/>
      <c r="M187" s="68">
        <f t="shared" ref="M187:V187" ca="1" si="121">M157*(1-M$235)</f>
        <v>20.37305268177569</v>
      </c>
      <c r="N187" s="68">
        <f t="shared" ca="1" si="121"/>
        <v>27.229069942367584</v>
      </c>
      <c r="O187" s="68">
        <f t="shared" ca="1" si="121"/>
        <v>27.229069942367584</v>
      </c>
      <c r="P187" s="68">
        <f t="shared" ca="1" si="121"/>
        <v>27.345116165534431</v>
      </c>
      <c r="Q187" s="68">
        <f t="shared" ca="1" si="121"/>
        <v>27.462198295475556</v>
      </c>
      <c r="R187" s="68">
        <f t="shared" ca="1" si="121"/>
        <v>16.90847812261709</v>
      </c>
      <c r="S187" s="68">
        <f t="shared" ca="1" si="121"/>
        <v>13.470377404667069</v>
      </c>
      <c r="T187" s="68">
        <f t="shared" ca="1" si="121"/>
        <v>13.590623069065796</v>
      </c>
      <c r="U187" s="68">
        <f t="shared" ca="1" si="121"/>
        <v>13.711942127280624</v>
      </c>
      <c r="V187" s="68">
        <f t="shared" ca="1" si="121"/>
        <v>13.834344161147952</v>
      </c>
    </row>
    <row r="188" spans="2:22" s="35" customFormat="1" outlineLevel="1">
      <c r="B188" s="38" t="s">
        <v>693</v>
      </c>
      <c r="C188" s="38"/>
      <c r="D188" s="38"/>
      <c r="E188" s="170">
        <f t="shared" ca="1" si="120"/>
        <v>1.8850000000000002</v>
      </c>
      <c r="F188" s="170">
        <f t="shared" si="120"/>
        <v>1.3032439849999993</v>
      </c>
      <c r="G188" s="170">
        <f t="shared" si="120"/>
        <v>1.8849913000000036</v>
      </c>
      <c r="H188" s="170">
        <f t="shared" si="120"/>
        <v>2.0149906999999985</v>
      </c>
      <c r="I188" s="170">
        <f t="shared" si="120"/>
        <v>2.0149906999999985</v>
      </c>
      <c r="J188" s="160"/>
      <c r="K188" s="160"/>
      <c r="L188" s="160"/>
      <c r="M188" s="170">
        <f t="shared" ref="M188:V188" ca="1" si="122">M158*(1-M$235)</f>
        <v>5.1674761499999997</v>
      </c>
      <c r="N188" s="170">
        <f t="shared" ca="1" si="122"/>
        <v>6.9549678999999989</v>
      </c>
      <c r="O188" s="170">
        <f t="shared" ca="1" si="122"/>
        <v>6.954967899999998</v>
      </c>
      <c r="P188" s="170">
        <f t="shared" ca="1" si="122"/>
        <v>7.0170526293942581</v>
      </c>
      <c r="Q188" s="170">
        <f t="shared" ca="1" si="122"/>
        <v>7.0796915689127617</v>
      </c>
      <c r="R188" s="170">
        <f t="shared" ca="1" si="122"/>
        <v>7.1428896658084753</v>
      </c>
      <c r="S188" s="170">
        <f t="shared" ca="1" si="122"/>
        <v>7.2066519114968823</v>
      </c>
      <c r="T188" s="170">
        <f t="shared" ca="1" si="122"/>
        <v>7.2709833419502008</v>
      </c>
      <c r="U188" s="170">
        <f t="shared" ca="1" si="122"/>
        <v>7.3358890380951332</v>
      </c>
      <c r="V188" s="170">
        <f t="shared" ca="1" si="122"/>
        <v>7.4013741262141535</v>
      </c>
    </row>
    <row r="189" spans="2:22" s="35" customFormat="1" outlineLevel="1">
      <c r="B189" s="38" t="s">
        <v>695</v>
      </c>
      <c r="C189" s="38"/>
      <c r="D189" s="38"/>
      <c r="E189" s="170">
        <f ca="1">E173*(1-E$235)</f>
        <v>0</v>
      </c>
      <c r="F189" s="170">
        <f>F173*(1-F$235)</f>
        <v>0</v>
      </c>
      <c r="G189" s="170">
        <f>G173*(1-G$235)</f>
        <v>0</v>
      </c>
      <c r="H189" s="170">
        <f>H173*(1-H$235)</f>
        <v>0</v>
      </c>
      <c r="I189" s="170">
        <f>I173*(1-I$235)</f>
        <v>0</v>
      </c>
      <c r="J189" s="160"/>
      <c r="K189" s="160"/>
      <c r="L189" s="160"/>
      <c r="M189" s="170">
        <f t="shared" ref="M189:V189" ca="1" si="123">M173*(1-M$235)</f>
        <v>0.52928327142857146</v>
      </c>
      <c r="N189" s="170">
        <f t="shared" ca="1" si="123"/>
        <v>0.70571102857142842</v>
      </c>
      <c r="O189" s="170">
        <f t="shared" ca="1" si="123"/>
        <v>0.70571102857142842</v>
      </c>
      <c r="P189" s="170">
        <f t="shared" ca="1" si="123"/>
        <v>0.70571102857142842</v>
      </c>
      <c r="Q189" s="170">
        <f t="shared" ca="1" si="123"/>
        <v>0.70571102857142842</v>
      </c>
      <c r="R189" s="170">
        <f t="shared" ca="1" si="123"/>
        <v>0.4375872660714285</v>
      </c>
      <c r="S189" s="170">
        <f t="shared" ca="1" si="123"/>
        <v>0.34821267857142851</v>
      </c>
      <c r="T189" s="170">
        <f t="shared" ca="1" si="123"/>
        <v>8.7053169642857253E-2</v>
      </c>
      <c r="U189" s="170">
        <f t="shared" ca="1" si="123"/>
        <v>0</v>
      </c>
      <c r="V189" s="170">
        <f t="shared" ca="1" si="123"/>
        <v>0</v>
      </c>
    </row>
    <row r="190" spans="2:22" s="35" customFormat="1" outlineLevel="1">
      <c r="B190" s="38" t="s">
        <v>694</v>
      </c>
      <c r="C190" s="38"/>
      <c r="D190" s="38"/>
      <c r="E190" s="519">
        <v>0</v>
      </c>
      <c r="F190" s="519">
        <v>0</v>
      </c>
      <c r="G190" s="519">
        <v>0</v>
      </c>
      <c r="H190" s="519">
        <v>0</v>
      </c>
      <c r="I190" s="519">
        <v>0</v>
      </c>
      <c r="J190" s="160"/>
      <c r="K190" s="160"/>
      <c r="L190" s="160"/>
      <c r="M190" s="519">
        <v>0</v>
      </c>
      <c r="N190" s="170">
        <f>M190</f>
        <v>0</v>
      </c>
      <c r="O190" s="170">
        <f t="shared" ref="O190:V190" si="124">N190</f>
        <v>0</v>
      </c>
      <c r="P190" s="170">
        <f t="shared" si="124"/>
        <v>0</v>
      </c>
      <c r="Q190" s="170">
        <f t="shared" si="124"/>
        <v>0</v>
      </c>
      <c r="R190" s="170">
        <f t="shared" si="124"/>
        <v>0</v>
      </c>
      <c r="S190" s="170">
        <f t="shared" si="124"/>
        <v>0</v>
      </c>
      <c r="T190" s="170">
        <f t="shared" si="124"/>
        <v>0</v>
      </c>
      <c r="U190" s="170">
        <f t="shared" si="124"/>
        <v>0</v>
      </c>
      <c r="V190" s="170">
        <f t="shared" si="124"/>
        <v>0</v>
      </c>
    </row>
    <row r="191" spans="2:22" ht="13.5" customHeight="1" outlineLevel="1">
      <c r="B191" s="104" t="s">
        <v>536</v>
      </c>
      <c r="C191" s="118"/>
      <c r="D191" s="105"/>
      <c r="E191" s="179">
        <f ca="1">E184+SUM(E187:E190)</f>
        <v>13.195000000000002</v>
      </c>
      <c r="F191" s="179">
        <f ca="1">F184+SUM(F187:F190)</f>
        <v>13.072252166249999</v>
      </c>
      <c r="G191" s="179">
        <f ca="1">G184+SUM(G187:G190)</f>
        <v>13.913998281250002</v>
      </c>
      <c r="H191" s="179">
        <f ca="1">H184+SUM(H187:H190)</f>
        <v>14.303996481249998</v>
      </c>
      <c r="I191" s="179">
        <f ca="1">I184+SUM(I187:I190)</f>
        <v>14.628994981249999</v>
      </c>
      <c r="J191" s="182"/>
      <c r="K191" s="182"/>
      <c r="L191" s="182"/>
      <c r="M191" s="179">
        <f t="shared" ref="M191:V191" ca="1" si="125">M184+SUM(M187:M190)</f>
        <v>43.218465585535697</v>
      </c>
      <c r="N191" s="179">
        <f t="shared" ca="1" si="125"/>
        <v>78.862956897454353</v>
      </c>
      <c r="O191" s="179">
        <f t="shared" ca="1" si="125"/>
        <v>81.697504066775224</v>
      </c>
      <c r="P191" s="179">
        <f t="shared" ca="1" si="125"/>
        <v>82.550889010261002</v>
      </c>
      <c r="Q191" s="179">
        <f t="shared" ca="1" si="125"/>
        <v>84.566713968437767</v>
      </c>
      <c r="R191" s="179">
        <f t="shared" ca="1" si="125"/>
        <v>86.072847950759524</v>
      </c>
      <c r="S191" s="179">
        <f t="shared" ca="1" si="125"/>
        <v>90.295610657814493</v>
      </c>
      <c r="T191" s="179">
        <f t="shared" ca="1" si="125"/>
        <v>92.58947963761122</v>
      </c>
      <c r="U191" s="179">
        <f t="shared" ca="1" si="125"/>
        <v>101.18160488116733</v>
      </c>
      <c r="V191" s="179">
        <f t="shared" ca="1" si="125"/>
        <v>102.58649936029828</v>
      </c>
    </row>
    <row r="192" spans="2:22" s="35" customFormat="1" ht="13.5" customHeight="1" outlineLevel="1">
      <c r="B192" s="38"/>
      <c r="C192" s="38"/>
      <c r="D192" s="38"/>
      <c r="E192" s="148"/>
      <c r="F192" s="148"/>
      <c r="G192" s="148"/>
      <c r="H192" s="148"/>
      <c r="I192" s="148"/>
      <c r="J192" s="160"/>
      <c r="K192" s="148"/>
      <c r="L192" s="148"/>
      <c r="M192" s="148"/>
      <c r="N192" s="148"/>
      <c r="O192" s="148"/>
      <c r="P192" s="148"/>
      <c r="Q192" s="148"/>
      <c r="R192" s="148"/>
      <c r="S192" s="148"/>
      <c r="T192" s="148"/>
      <c r="U192" s="148"/>
      <c r="V192" s="148"/>
    </row>
    <row r="193" spans="2:22" ht="13.5" customHeight="1" outlineLevel="1">
      <c r="B193" s="38" t="s">
        <v>688</v>
      </c>
      <c r="D193" s="71"/>
      <c r="E193" s="183">
        <f ca="1">IF(scenario=1,E184/E1165,E193)</f>
        <v>0.23942636294971506</v>
      </c>
      <c r="F193" s="183">
        <f ca="1">IF(scenario=1,F184/F1165,F193)</f>
        <v>0.25253332677282186</v>
      </c>
      <c r="G193" s="183">
        <f ca="1">IF(scenario=1,G184/G1165,G193)</f>
        <v>0.2599573657776269</v>
      </c>
      <c r="H193" s="183">
        <f ca="1">IF(scenario=1,H184/H1165,H193)</f>
        <v>0.26738140478243194</v>
      </c>
      <c r="I193" s="183">
        <f ca="1">IF(scenario=1,I184/I1165,I193)</f>
        <v>0.2766614535384383</v>
      </c>
      <c r="J193" s="148"/>
      <c r="K193" s="148"/>
      <c r="L193" s="148"/>
      <c r="M193" s="183">
        <f t="shared" ref="M193:V193" ca="1" si="126">IF(scenario=1,M184/M1165,M193)</f>
        <v>0.70918434336110825</v>
      </c>
      <c r="N193" s="183">
        <f t="shared" ca="1" si="126"/>
        <v>0.93922153077256876</v>
      </c>
      <c r="O193" s="183">
        <f t="shared" ca="1" si="126"/>
        <v>1.0279630005873808</v>
      </c>
      <c r="P193" s="183">
        <f t="shared" ca="1" si="126"/>
        <v>1.0530015824273418</v>
      </c>
      <c r="Q193" s="183">
        <f t="shared" ca="1" si="126"/>
        <v>1.0785357260776369</v>
      </c>
      <c r="R193" s="183">
        <f t="shared" ca="1" si="126"/>
        <v>1.6700245420531401</v>
      </c>
      <c r="S193" s="183">
        <f t="shared" ca="1" si="126"/>
        <v>1.6999102905078411</v>
      </c>
      <c r="T193" s="183">
        <f t="shared" ca="1" si="126"/>
        <v>1.7301630686741927</v>
      </c>
      <c r="U193" s="183">
        <f t="shared" ca="1" si="126"/>
        <v>1.7607868045246877</v>
      </c>
      <c r="V193" s="183">
        <f t="shared" ca="1" si="126"/>
        <v>1.7917854653310405</v>
      </c>
    </row>
    <row r="194" spans="2:22" ht="13.5" customHeight="1" outlineLevel="1">
      <c r="B194" s="38" t="s">
        <v>689</v>
      </c>
      <c r="E194" s="503" t="s">
        <v>2</v>
      </c>
      <c r="F194" s="503" t="s">
        <v>2</v>
      </c>
      <c r="G194" s="503" t="s">
        <v>2</v>
      </c>
      <c r="H194" s="503" t="s">
        <v>2</v>
      </c>
      <c r="I194" s="503" t="s">
        <v>2</v>
      </c>
      <c r="J194" s="148"/>
      <c r="K194" s="148"/>
      <c r="L194" s="148"/>
      <c r="M194" s="184" t="str">
        <f t="shared" ref="M194:V194" si="127">IF(LBO,"NM",M184/M1165)</f>
        <v>NM</v>
      </c>
      <c r="N194" s="184" t="str">
        <f t="shared" si="127"/>
        <v>NM</v>
      </c>
      <c r="O194" s="184" t="str">
        <f t="shared" si="127"/>
        <v>NM</v>
      </c>
      <c r="P194" s="184" t="str">
        <f t="shared" si="127"/>
        <v>NM</v>
      </c>
      <c r="Q194" s="184" t="str">
        <f t="shared" si="127"/>
        <v>NM</v>
      </c>
      <c r="R194" s="184" t="str">
        <f t="shared" si="127"/>
        <v>NM</v>
      </c>
      <c r="S194" s="184" t="str">
        <f t="shared" si="127"/>
        <v>NM</v>
      </c>
      <c r="T194" s="184" t="str">
        <f t="shared" si="127"/>
        <v>NM</v>
      </c>
      <c r="U194" s="184" t="str">
        <f t="shared" si="127"/>
        <v>NM</v>
      </c>
      <c r="V194" s="184" t="str">
        <f t="shared" si="127"/>
        <v>NM</v>
      </c>
    </row>
    <row r="195" spans="2:22" ht="13.5" customHeight="1" outlineLevel="1">
      <c r="E195" s="148"/>
      <c r="F195" s="148"/>
      <c r="G195" s="148"/>
      <c r="H195" s="148"/>
      <c r="I195" s="148"/>
      <c r="J195" s="148"/>
      <c r="K195" s="148"/>
      <c r="L195" s="148"/>
      <c r="M195" s="185"/>
      <c r="N195" s="185"/>
      <c r="O195" s="185"/>
      <c r="P195" s="185"/>
      <c r="Q195" s="185"/>
      <c r="R195" s="185"/>
      <c r="S195" s="185"/>
      <c r="T195" s="185"/>
      <c r="U195" s="185"/>
      <c r="V195" s="185"/>
    </row>
    <row r="196" spans="2:22" s="80" customFormat="1" ht="13.5" customHeight="1" outlineLevel="1">
      <c r="B196" s="186" t="s">
        <v>214</v>
      </c>
      <c r="C196" s="186"/>
      <c r="D196" s="186"/>
      <c r="E196" s="548" t="s">
        <v>2</v>
      </c>
      <c r="F196" s="548" t="s">
        <v>2</v>
      </c>
      <c r="G196" s="548" t="s">
        <v>2</v>
      </c>
      <c r="H196" s="548" t="s">
        <v>2</v>
      </c>
      <c r="I196" s="548" t="s">
        <v>2</v>
      </c>
      <c r="J196" s="187"/>
      <c r="K196" s="187"/>
      <c r="L196" s="187"/>
      <c r="M196" s="188" t="str">
        <f>IF(LBO,"NM",M194-M193)</f>
        <v>NM</v>
      </c>
      <c r="N196" s="188" t="str">
        <f>IF(LBO,"NM",N194-N193)</f>
        <v>NM</v>
      </c>
      <c r="O196" s="188" t="str">
        <f>IF(LBO,"NM",O194-O193)</f>
        <v>NM</v>
      </c>
      <c r="P196" s="188" t="str">
        <f>IF(LBO,"NM",P194-P193)</f>
        <v>NM</v>
      </c>
      <c r="Q196" s="188" t="str">
        <f>IF(LBO,"NM",Q194-Q193)</f>
        <v>NM</v>
      </c>
      <c r="R196" s="548" t="s">
        <v>2</v>
      </c>
      <c r="S196" s="548" t="s">
        <v>2</v>
      </c>
      <c r="T196" s="548" t="s">
        <v>2</v>
      </c>
      <c r="U196" s="548" t="s">
        <v>2</v>
      </c>
      <c r="V196" s="548" t="s">
        <v>2</v>
      </c>
    </row>
    <row r="197" spans="2:22" s="80" customFormat="1" ht="13.5" customHeight="1" outlineLevel="1">
      <c r="B197" s="186" t="s">
        <v>215</v>
      </c>
      <c r="C197" s="186"/>
      <c r="D197" s="186"/>
      <c r="E197" s="549" t="s">
        <v>2</v>
      </c>
      <c r="F197" s="549" t="s">
        <v>2</v>
      </c>
      <c r="G197" s="549" t="s">
        <v>2</v>
      </c>
      <c r="H197" s="549" t="s">
        <v>2</v>
      </c>
      <c r="I197" s="549" t="s">
        <v>2</v>
      </c>
      <c r="J197" s="187"/>
      <c r="K197" s="187"/>
      <c r="L197" s="187"/>
      <c r="M197" s="189" t="str">
        <f>IF(LBO,"NM",(M194-M193)/M193)</f>
        <v>NM</v>
      </c>
      <c r="N197" s="189" t="str">
        <f>IF(LBO,"NM",(N194-N193)/N193)</f>
        <v>NM</v>
      </c>
      <c r="O197" s="189" t="str">
        <f>IF(LBO,"NM",(O194-O193)/O193)</f>
        <v>NM</v>
      </c>
      <c r="P197" s="189" t="str">
        <f>IF(LBO,"NM",(P194-P193)/P193)</f>
        <v>NM</v>
      </c>
      <c r="Q197" s="189" t="str">
        <f>IF(LBO,"NM",(Q194-Q193)/Q193)</f>
        <v>NM</v>
      </c>
      <c r="R197" s="549" t="s">
        <v>2</v>
      </c>
      <c r="S197" s="549" t="s">
        <v>2</v>
      </c>
      <c r="T197" s="549" t="s">
        <v>2</v>
      </c>
      <c r="U197" s="549" t="s">
        <v>2</v>
      </c>
      <c r="V197" s="549" t="s">
        <v>2</v>
      </c>
    </row>
    <row r="198" spans="2:22" outlineLevel="1">
      <c r="E198" s="148"/>
      <c r="F198" s="148"/>
      <c r="G198" s="148"/>
      <c r="H198" s="148"/>
      <c r="I198" s="148"/>
      <c r="J198" s="148"/>
      <c r="K198" s="148"/>
      <c r="L198" s="148"/>
      <c r="M198" s="148"/>
      <c r="N198" s="148"/>
      <c r="O198" s="148"/>
      <c r="P198" s="148"/>
      <c r="Q198" s="148"/>
      <c r="R198" s="148"/>
      <c r="S198" s="148"/>
      <c r="T198" s="148"/>
      <c r="U198" s="148"/>
      <c r="V198" s="148"/>
    </row>
    <row r="199" spans="2:22" ht="13.5" customHeight="1" outlineLevel="1">
      <c r="B199" s="38" t="s">
        <v>690</v>
      </c>
      <c r="D199" s="190"/>
      <c r="E199" s="183">
        <f ca="1">IF(scenario=1,E191/E1165,E199)</f>
        <v>0.37677171844024926</v>
      </c>
      <c r="F199" s="183">
        <f ca="1">IF(scenario=1,F191/F1165,F199)</f>
        <v>0.37326676108846402</v>
      </c>
      <c r="G199" s="183">
        <f ca="1">IF(scenario=1,G191/G1165,G199)</f>
        <v>0.39730208736652045</v>
      </c>
      <c r="H199" s="183">
        <f ca="1">IF(scenario=1,H191/H1165,H199)</f>
        <v>0.4084381458737279</v>
      </c>
      <c r="I199" s="183">
        <f ca="1">IF(scenario=1,I191/I1165,I199)</f>
        <v>0.41771819462973425</v>
      </c>
      <c r="J199" s="148"/>
      <c r="K199" s="148"/>
      <c r="L199" s="148"/>
      <c r="M199" s="183">
        <f t="shared" ref="M199:V199" ca="1" si="128">IF(scenario=1,M191/M1165,M199)</f>
        <v>1.1337465739483972</v>
      </c>
      <c r="N199" s="183">
        <f t="shared" ca="1" si="128"/>
        <v>1.5090165243913565</v>
      </c>
      <c r="O199" s="183">
        <f t="shared" ca="1" si="128"/>
        <v>1.5977579942061684</v>
      </c>
      <c r="P199" s="183">
        <f t="shared" ca="1" si="128"/>
        <v>1.6278829500593046</v>
      </c>
      <c r="Q199" s="183">
        <f t="shared" ca="1" si="128"/>
        <v>1.6585488721241677</v>
      </c>
      <c r="R199" s="183">
        <f t="shared" ca="1" si="128"/>
        <v>2.2552152762259099</v>
      </c>
      <c r="S199" s="183">
        <f t="shared" ca="1" si="128"/>
        <v>2.2903248314468714</v>
      </c>
      <c r="T199" s="183">
        <f t="shared" ca="1" si="128"/>
        <v>2.3258480475982259</v>
      </c>
      <c r="U199" s="183">
        <f t="shared" ca="1" si="128"/>
        <v>2.3617892689141424</v>
      </c>
      <c r="V199" s="183">
        <f t="shared" ca="1" si="128"/>
        <v>2.3981528826438443</v>
      </c>
    </row>
    <row r="200" spans="2:22" ht="13.5" customHeight="1" outlineLevel="1">
      <c r="B200" s="38" t="s">
        <v>691</v>
      </c>
      <c r="E200" s="503" t="s">
        <v>2</v>
      </c>
      <c r="F200" s="503" t="s">
        <v>2</v>
      </c>
      <c r="G200" s="503" t="s">
        <v>2</v>
      </c>
      <c r="H200" s="503" t="s">
        <v>2</v>
      </c>
      <c r="I200" s="503" t="s">
        <v>2</v>
      </c>
      <c r="J200" s="148"/>
      <c r="K200" s="148"/>
      <c r="L200" s="148"/>
      <c r="M200" s="184" t="str">
        <f t="shared" ref="M200:V200" si="129">IF(LBO,"NM",M191/M1165)</f>
        <v>NM</v>
      </c>
      <c r="N200" s="184" t="str">
        <f t="shared" si="129"/>
        <v>NM</v>
      </c>
      <c r="O200" s="184" t="str">
        <f t="shared" si="129"/>
        <v>NM</v>
      </c>
      <c r="P200" s="184" t="str">
        <f t="shared" si="129"/>
        <v>NM</v>
      </c>
      <c r="Q200" s="184" t="str">
        <f t="shared" si="129"/>
        <v>NM</v>
      </c>
      <c r="R200" s="184" t="str">
        <f t="shared" si="129"/>
        <v>NM</v>
      </c>
      <c r="S200" s="184" t="str">
        <f t="shared" si="129"/>
        <v>NM</v>
      </c>
      <c r="T200" s="184" t="str">
        <f t="shared" si="129"/>
        <v>NM</v>
      </c>
      <c r="U200" s="184" t="str">
        <f t="shared" si="129"/>
        <v>NM</v>
      </c>
      <c r="V200" s="184" t="str">
        <f t="shared" si="129"/>
        <v>NM</v>
      </c>
    </row>
    <row r="201" spans="2:22" outlineLevel="1">
      <c r="E201" s="148"/>
      <c r="F201" s="148"/>
      <c r="G201" s="148"/>
      <c r="H201" s="148"/>
      <c r="I201" s="148"/>
      <c r="J201" s="148"/>
      <c r="K201" s="148"/>
      <c r="L201" s="148"/>
      <c r="M201" s="148"/>
      <c r="N201" s="148"/>
      <c r="O201" s="148"/>
      <c r="P201" s="148"/>
      <c r="Q201" s="148"/>
      <c r="R201" s="148"/>
      <c r="S201" s="148"/>
      <c r="T201" s="148"/>
      <c r="U201" s="148"/>
      <c r="V201" s="148"/>
    </row>
    <row r="202" spans="2:22" s="80" customFormat="1" ht="13.5" customHeight="1" outlineLevel="1">
      <c r="B202" s="186" t="s">
        <v>216</v>
      </c>
      <c r="C202" s="186"/>
      <c r="D202" s="186"/>
      <c r="E202" s="548" t="s">
        <v>2</v>
      </c>
      <c r="F202" s="548" t="s">
        <v>2</v>
      </c>
      <c r="G202" s="548" t="s">
        <v>2</v>
      </c>
      <c r="H202" s="548" t="s">
        <v>2</v>
      </c>
      <c r="I202" s="548" t="s">
        <v>2</v>
      </c>
      <c r="J202" s="187"/>
      <c r="K202" s="187"/>
      <c r="L202" s="187"/>
      <c r="M202" s="188" t="str">
        <f>IF(LBO,"NM",M200-M199)</f>
        <v>NM</v>
      </c>
      <c r="N202" s="188" t="str">
        <f>IF(LBO,"NM",N200-N199)</f>
        <v>NM</v>
      </c>
      <c r="O202" s="188" t="str">
        <f>IF(LBO,"NM",O200-O199)</f>
        <v>NM</v>
      </c>
      <c r="P202" s="188" t="str">
        <f>IF(LBO,"NM",P200-P199)</f>
        <v>NM</v>
      </c>
      <c r="Q202" s="188" t="str">
        <f>IF(LBO,"NM",Q200-Q199)</f>
        <v>NM</v>
      </c>
      <c r="R202" s="548" t="s">
        <v>2</v>
      </c>
      <c r="S202" s="548" t="s">
        <v>2</v>
      </c>
      <c r="T202" s="548" t="s">
        <v>2</v>
      </c>
      <c r="U202" s="548" t="s">
        <v>2</v>
      </c>
      <c r="V202" s="548" t="s">
        <v>2</v>
      </c>
    </row>
    <row r="203" spans="2:22" s="80" customFormat="1" ht="13.5" customHeight="1" outlineLevel="1">
      <c r="B203" s="186" t="s">
        <v>217</v>
      </c>
      <c r="C203" s="186"/>
      <c r="D203" s="186"/>
      <c r="E203" s="549" t="s">
        <v>2</v>
      </c>
      <c r="F203" s="549" t="s">
        <v>2</v>
      </c>
      <c r="G203" s="549" t="s">
        <v>2</v>
      </c>
      <c r="H203" s="549" t="s">
        <v>2</v>
      </c>
      <c r="I203" s="549" t="s">
        <v>2</v>
      </c>
      <c r="J203" s="187"/>
      <c r="K203" s="187"/>
      <c r="L203" s="187"/>
      <c r="M203" s="189" t="str">
        <f>IF(LBO,"NM",(M200-M199)/M199)</f>
        <v>NM</v>
      </c>
      <c r="N203" s="189" t="str">
        <f>IF(LBO,"NM",(N200-N199)/N199)</f>
        <v>NM</v>
      </c>
      <c r="O203" s="189" t="str">
        <f>IF(LBO,"NM",(O200-O199)/O199)</f>
        <v>NM</v>
      </c>
      <c r="P203" s="189" t="str">
        <f>IF(LBO,"NM",(P200-P199)/P199)</f>
        <v>NM</v>
      </c>
      <c r="Q203" s="189" t="str">
        <f>IF(LBO,"NM",(Q200-Q199)/Q199)</f>
        <v>NM</v>
      </c>
      <c r="R203" s="549" t="s">
        <v>2</v>
      </c>
      <c r="S203" s="549" t="s">
        <v>2</v>
      </c>
      <c r="T203" s="549" t="s">
        <v>2</v>
      </c>
      <c r="U203" s="549" t="s">
        <v>2</v>
      </c>
      <c r="V203" s="549" t="s">
        <v>2</v>
      </c>
    </row>
    <row r="204" spans="2:22" ht="13.5" customHeight="1" outlineLevel="1">
      <c r="E204" s="148"/>
      <c r="F204" s="148"/>
      <c r="G204" s="148"/>
      <c r="H204" s="148"/>
      <c r="I204" s="148"/>
      <c r="J204" s="148"/>
      <c r="K204" s="148"/>
      <c r="L204" s="148"/>
      <c r="M204" s="148"/>
      <c r="N204" s="148"/>
      <c r="O204" s="148"/>
      <c r="P204" s="148"/>
      <c r="Q204" s="148"/>
      <c r="R204" s="148"/>
      <c r="S204" s="148"/>
      <c r="T204" s="148"/>
      <c r="U204" s="148"/>
      <c r="V204" s="148"/>
    </row>
    <row r="205" spans="2:22" ht="13.5" customHeight="1" outlineLevel="1">
      <c r="B205" s="38" t="s">
        <v>174</v>
      </c>
      <c r="E205" s="507">
        <v>5</v>
      </c>
      <c r="F205" s="507">
        <v>5.1267572633552021</v>
      </c>
      <c r="G205" s="507">
        <v>5.1874414245548266</v>
      </c>
      <c r="H205" s="507">
        <v>5.2577319587628866</v>
      </c>
      <c r="I205" s="507">
        <v>5.3420805998125589</v>
      </c>
      <c r="J205" s="148"/>
      <c r="K205" s="148"/>
      <c r="L205" s="148"/>
      <c r="M205" s="68">
        <f t="shared" ref="M205:V205" ca="1" si="130">M219*M150</f>
        <v>12.750000000000002</v>
      </c>
      <c r="N205" s="68">
        <f t="shared" ca="1" si="130"/>
        <v>18</v>
      </c>
      <c r="O205" s="68">
        <f t="shared" ca="1" si="130"/>
        <v>18.999999999999996</v>
      </c>
      <c r="P205" s="68">
        <f t="shared" ca="1" si="130"/>
        <v>19.169606801275233</v>
      </c>
      <c r="Q205" s="68">
        <f t="shared" ca="1" si="130"/>
        <v>19.340727627131464</v>
      </c>
      <c r="R205" s="68">
        <f t="shared" ca="1" si="130"/>
        <v>19.513375992772165</v>
      </c>
      <c r="S205" s="68">
        <f t="shared" ca="1" si="130"/>
        <v>19.687565534046644</v>
      </c>
      <c r="T205" s="68">
        <f t="shared" ca="1" si="130"/>
        <v>19.863310008526977</v>
      </c>
      <c r="U205" s="68">
        <f t="shared" ca="1" si="130"/>
        <v>20.040623296594589</v>
      </c>
      <c r="V205" s="68">
        <f t="shared" ca="1" si="130"/>
        <v>20.219519402536559</v>
      </c>
    </row>
    <row r="206" spans="2:22" s="35" customFormat="1" ht="13.5" customHeight="1" outlineLevel="1">
      <c r="B206" s="38" t="s">
        <v>491</v>
      </c>
      <c r="C206" s="38"/>
      <c r="D206" s="164"/>
      <c r="E206" s="522">
        <v>0.05</v>
      </c>
      <c r="F206" s="191">
        <f>$E206</f>
        <v>0.05</v>
      </c>
      <c r="G206" s="191">
        <f t="shared" ref="G206:I206" si="131">$E206</f>
        <v>0.05</v>
      </c>
      <c r="H206" s="191">
        <f t="shared" si="131"/>
        <v>0.05</v>
      </c>
      <c r="I206" s="191">
        <f t="shared" si="131"/>
        <v>0.05</v>
      </c>
      <c r="J206" s="148"/>
      <c r="K206" s="148"/>
      <c r="L206" s="192"/>
      <c r="M206" s="191">
        <f t="shared" ref="M206:V206" si="132">IF(LBO,0,$E206)</f>
        <v>0</v>
      </c>
      <c r="N206" s="191">
        <f t="shared" si="132"/>
        <v>0</v>
      </c>
      <c r="O206" s="191">
        <f t="shared" si="132"/>
        <v>0</v>
      </c>
      <c r="P206" s="191">
        <f t="shared" si="132"/>
        <v>0</v>
      </c>
      <c r="Q206" s="191">
        <f t="shared" si="132"/>
        <v>0</v>
      </c>
      <c r="R206" s="191">
        <f t="shared" si="132"/>
        <v>0</v>
      </c>
      <c r="S206" s="191">
        <f t="shared" si="132"/>
        <v>0</v>
      </c>
      <c r="T206" s="191">
        <f t="shared" si="132"/>
        <v>0</v>
      </c>
      <c r="U206" s="191">
        <f t="shared" si="132"/>
        <v>0</v>
      </c>
      <c r="V206" s="191">
        <f t="shared" si="132"/>
        <v>0</v>
      </c>
    </row>
    <row r="207" spans="2:22" ht="13.5" customHeight="1" outlineLevel="1"/>
    <row r="208" spans="2:22" s="35" customFormat="1" ht="13.5" customHeight="1" outlineLevel="1">
      <c r="B208" s="46" t="s">
        <v>666</v>
      </c>
      <c r="C208" s="47"/>
      <c r="D208" s="47"/>
      <c r="E208" s="47"/>
      <c r="F208" s="47"/>
      <c r="G208" s="47"/>
      <c r="H208" s="47"/>
      <c r="I208" s="47"/>
      <c r="J208" s="47"/>
      <c r="K208" s="47"/>
      <c r="L208" s="47"/>
      <c r="M208" s="47"/>
      <c r="N208" s="47"/>
      <c r="O208" s="47"/>
      <c r="P208" s="47"/>
      <c r="Q208" s="47"/>
      <c r="R208" s="47"/>
      <c r="S208" s="47"/>
      <c r="T208" s="47"/>
      <c r="U208" s="47"/>
      <c r="V208" s="48"/>
    </row>
    <row r="209" spans="2:22" ht="5.0999999999999996" customHeight="1" outlineLevel="1">
      <c r="K209" s="193"/>
    </row>
    <row r="210" spans="2:22" s="80" customFormat="1" ht="13.5" customHeight="1" outlineLevel="1">
      <c r="B210" s="38" t="s">
        <v>134</v>
      </c>
      <c r="C210" s="38"/>
      <c r="D210" s="38"/>
      <c r="E210" s="505">
        <f>(E150/105.6-1)/E148</f>
        <v>4.1666666666666963E-2</v>
      </c>
      <c r="F210" s="55">
        <f>(F150/E150-1)/F$148</f>
        <v>6.3917525773195649E-2</v>
      </c>
      <c r="G210" s="55">
        <f>(G150/F150-1)/G$148</f>
        <v>8.4682440846824747E-2</v>
      </c>
      <c r="H210" s="55">
        <f>(H150/G150-1)/H$148</f>
        <v>5.4200542005419905E-2</v>
      </c>
      <c r="I210" s="55">
        <f>(I150/H150-1)/I$148</f>
        <v>6.4171122994652663E-2</v>
      </c>
      <c r="K210" s="194"/>
      <c r="L210" s="194"/>
      <c r="M210" s="55">
        <f ca="1">M1194</f>
        <v>2.16110019646365E-2</v>
      </c>
      <c r="N210" s="55">
        <f t="shared" ref="N210:V210" ca="1" si="133">N1194</f>
        <v>5.3418803418803229E-3</v>
      </c>
      <c r="O210" s="55">
        <f t="shared" ca="1" si="133"/>
        <v>8.9266737513282735E-3</v>
      </c>
      <c r="P210" s="55">
        <f t="shared" ca="1" si="133"/>
        <v>8.9266737513282735E-3</v>
      </c>
      <c r="Q210" s="55">
        <f t="shared" ca="1" si="133"/>
        <v>8.9266737513282735E-3</v>
      </c>
      <c r="R210" s="55">
        <f t="shared" ca="1" si="133"/>
        <v>8.9266737513282735E-3</v>
      </c>
      <c r="S210" s="55">
        <f t="shared" ca="1" si="133"/>
        <v>8.9266737513282735E-3</v>
      </c>
      <c r="T210" s="55">
        <f t="shared" ca="1" si="133"/>
        <v>8.9266737513282735E-3</v>
      </c>
      <c r="U210" s="55">
        <f t="shared" ca="1" si="133"/>
        <v>8.9266737513282735E-3</v>
      </c>
      <c r="V210" s="55">
        <f t="shared" ca="1" si="133"/>
        <v>8.9266737513282735E-3</v>
      </c>
    </row>
    <row r="211" spans="2:22" s="80" customFormat="1" ht="13.5" customHeight="1" outlineLevel="1">
      <c r="B211" s="38" t="s">
        <v>664</v>
      </c>
      <c r="C211" s="38"/>
      <c r="D211" s="38"/>
      <c r="E211" s="51"/>
      <c r="F211" s="55">
        <f ca="1">((F184/F$148)/(E184/E$148)-1)/F$148</f>
        <v>0.21897277579010055</v>
      </c>
      <c r="G211" s="55">
        <f ca="1">((G184/G$148)/(F184/F$148)-1)/G$148</f>
        <v>0.11759301791456167</v>
      </c>
      <c r="H211" s="55">
        <f ca="1">((H184/H$148)/(G184/G$148)-1)/H$148</f>
        <v>0.11423471664435514</v>
      </c>
      <c r="I211" s="55">
        <f ca="1">((I184/I$148)/(H184/H$148)-1)/I$148</f>
        <v>0.13882863340564011</v>
      </c>
      <c r="K211" s="194"/>
      <c r="L211" s="194"/>
      <c r="M211" s="55"/>
      <c r="N211" s="55">
        <f t="shared" ref="N211:V211" ca="1" si="134">((N184/N$148)/(M184/M$148)-1)/N$148</f>
        <v>0.92317758673392669</v>
      </c>
      <c r="O211" s="55">
        <f t="shared" ca="1" si="134"/>
        <v>6.4460777289927718E-2</v>
      </c>
      <c r="P211" s="55">
        <f t="shared" ca="1" si="134"/>
        <v>1.442611353822687E-2</v>
      </c>
      <c r="Q211" s="55">
        <f t="shared" ca="1" si="134"/>
        <v>3.866865053761348E-2</v>
      </c>
      <c r="R211" s="55">
        <f t="shared" ca="1" si="134"/>
        <v>0.24868208400289915</v>
      </c>
      <c r="S211" s="55">
        <f t="shared" ca="1" si="134"/>
        <v>0.12481308675572644</v>
      </c>
      <c r="T211" s="55">
        <f t="shared" ca="1" si="134"/>
        <v>3.4220279747647631E-2</v>
      </c>
      <c r="U211" s="55">
        <f t="shared" ca="1" si="134"/>
        <v>0.11854908489444371</v>
      </c>
      <c r="V211" s="55">
        <f t="shared" ca="1" si="134"/>
        <v>1.5187196368174671E-2</v>
      </c>
    </row>
    <row r="212" spans="2:22" s="80" customFormat="1" ht="13.5" customHeight="1" outlineLevel="1">
      <c r="B212" s="38" t="s">
        <v>665</v>
      </c>
      <c r="C212" s="38"/>
      <c r="D212" s="38"/>
      <c r="E212" s="51"/>
      <c r="F212" s="55">
        <f ca="1">((F191/F$148)/(E191/E$148)-1)/F$148</f>
        <v>-3.721040810913312E-2</v>
      </c>
      <c r="G212" s="55">
        <f ca="1">((G191/G$148)/(F191/F$148)-1)/G$148</f>
        <v>0.25756728199390988</v>
      </c>
      <c r="H212" s="55">
        <f ca="1">((H191/H$148)/(G191/G$148)-1)/H$148</f>
        <v>0.11211678832116689</v>
      </c>
      <c r="I212" s="55">
        <f ca="1">((I191/I$148)/(H191/H$148)-1)/I$148</f>
        <v>9.0883271797784992E-2</v>
      </c>
      <c r="K212" s="194"/>
      <c r="L212" s="194"/>
      <c r="M212" s="55"/>
      <c r="N212" s="55">
        <f ca="1">((N191/N$148)/(M191/M$148)-1)/N$148</f>
        <v>0.36856357280962992</v>
      </c>
      <c r="O212" s="55">
        <f t="shared" ref="O212:V212" ca="1" si="135">((O191/O148)/(N191/N148)-1)/O$148</f>
        <v>3.5942694527757002E-2</v>
      </c>
      <c r="P212" s="55">
        <f t="shared" ca="1" si="135"/>
        <v>1.0445667260388536E-2</v>
      </c>
      <c r="Q212" s="55">
        <f t="shared" ca="1" si="135"/>
        <v>2.4419179276509162E-2</v>
      </c>
      <c r="R212" s="55">
        <f t="shared" ca="1" si="135"/>
        <v>1.781000953736811E-2</v>
      </c>
      <c r="S212" s="55">
        <f t="shared" ca="1" si="135"/>
        <v>4.9060334444501308E-2</v>
      </c>
      <c r="T212" s="55">
        <f t="shared" ca="1" si="135"/>
        <v>2.540399209978883E-2</v>
      </c>
      <c r="U212" s="55">
        <f t="shared" ca="1" si="135"/>
        <v>9.2798072493603945E-2</v>
      </c>
      <c r="V212" s="55">
        <f t="shared" ca="1" si="135"/>
        <v>1.3884880367146968E-2</v>
      </c>
    </row>
    <row r="213" spans="2:22" s="80" customFormat="1" ht="13.5" customHeight="1" outlineLevel="1">
      <c r="B213" s="38"/>
      <c r="C213" s="38"/>
      <c r="D213" s="38"/>
      <c r="E213" s="195"/>
      <c r="F213" s="58"/>
      <c r="G213" s="58"/>
      <c r="H213" s="58"/>
      <c r="I213" s="58"/>
      <c r="K213" s="194"/>
      <c r="L213" s="194"/>
      <c r="M213" s="58"/>
      <c r="N213" s="58"/>
      <c r="O213" s="58"/>
      <c r="P213" s="58"/>
      <c r="Q213" s="58"/>
      <c r="R213" s="58"/>
      <c r="S213" s="58"/>
      <c r="T213" s="58"/>
      <c r="U213" s="58"/>
      <c r="V213" s="58"/>
    </row>
    <row r="214" spans="2:22" s="80" customFormat="1" ht="13.5" customHeight="1" outlineLevel="1">
      <c r="B214" s="196" t="s">
        <v>135</v>
      </c>
      <c r="C214" s="38"/>
      <c r="D214" s="197"/>
      <c r="E214" s="58">
        <f>E151/E150</f>
        <v>0.51265229615745078</v>
      </c>
      <c r="F214" s="58">
        <f>F151/F150</f>
        <v>0.51750380517503802</v>
      </c>
      <c r="G214" s="58">
        <f>G151/G150</f>
        <v>0.51309846431797645</v>
      </c>
      <c r="H214" s="58">
        <f>H151/H150</f>
        <v>0.51247771836007128</v>
      </c>
      <c r="I214" s="58">
        <f>I151/I150</f>
        <v>0.512280701754386</v>
      </c>
      <c r="K214" s="194"/>
      <c r="L214" s="197"/>
      <c r="M214" s="55">
        <f t="shared" ref="M214:V214" ca="1" si="136">(M1201*M150-$K$14*M221*LBO)/M150</f>
        <v>0.53376068376068386</v>
      </c>
      <c r="N214" s="55">
        <f t="shared" ca="1" si="136"/>
        <v>0.51477151965993617</v>
      </c>
      <c r="O214" s="55">
        <f t="shared" ca="1" si="136"/>
        <v>0.51021697914472308</v>
      </c>
      <c r="P214" s="55">
        <f t="shared" ca="1" si="136"/>
        <v>0.5104033640884762</v>
      </c>
      <c r="Q214" s="55">
        <f t="shared" ca="1" si="136"/>
        <v>0.5105880999554151</v>
      </c>
      <c r="R214" s="55">
        <f t="shared" ca="1" si="136"/>
        <v>0.51077120133606557</v>
      </c>
      <c r="S214" s="55">
        <f t="shared" ca="1" si="136"/>
        <v>0.51095268269186078</v>
      </c>
      <c r="T214" s="55">
        <f t="shared" ca="1" si="136"/>
        <v>0.51113255835628402</v>
      </c>
      <c r="U214" s="55">
        <f t="shared" ca="1" si="136"/>
        <v>0.5113108425359999</v>
      </c>
      <c r="V214" s="55">
        <f t="shared" ca="1" si="136"/>
        <v>0.51148754931197693</v>
      </c>
    </row>
    <row r="215" spans="2:22" s="80" customFormat="1" ht="13.5" customHeight="1" outlineLevel="1">
      <c r="B215" s="196" t="s">
        <v>136</v>
      </c>
      <c r="C215" s="38"/>
      <c r="D215" s="197"/>
      <c r="E215" s="58">
        <f>E153/E150</f>
        <v>0.18931583880037486</v>
      </c>
      <c r="F215" s="58">
        <f>F153/F150</f>
        <v>0.19095060190950602</v>
      </c>
      <c r="G215" s="58">
        <f>G153/G150</f>
        <v>0.18970189701897019</v>
      </c>
      <c r="H215" s="58">
        <f>H153/H150</f>
        <v>0.18894830659536541</v>
      </c>
      <c r="I215" s="58">
        <f>I153/I150</f>
        <v>0.18947368421052632</v>
      </c>
      <c r="K215" s="194"/>
      <c r="L215" s="197"/>
      <c r="M215" s="55">
        <f t="shared" ref="M215:V215" ca="1" si="137">(M1208*M150-$K$15*M222*LBO)/M150</f>
        <v>0.19594017094017097</v>
      </c>
      <c r="N215" s="55">
        <f t="shared" ca="1" si="137"/>
        <v>0.15387885228480341</v>
      </c>
      <c r="O215" s="55">
        <f t="shared" ca="1" si="137"/>
        <v>0.15251737939751422</v>
      </c>
      <c r="P215" s="55">
        <f t="shared" ca="1" si="137"/>
        <v>0.1528901492850207</v>
      </c>
      <c r="Q215" s="55">
        <f t="shared" ca="1" si="137"/>
        <v>0.15325962101889851</v>
      </c>
      <c r="R215" s="55">
        <f t="shared" ca="1" si="137"/>
        <v>0.15362582378019934</v>
      </c>
      <c r="S215" s="55">
        <f t="shared" ca="1" si="137"/>
        <v>0.15398878649178993</v>
      </c>
      <c r="T215" s="55">
        <f t="shared" ca="1" si="137"/>
        <v>0.15434853782063632</v>
      </c>
      <c r="U215" s="55">
        <f t="shared" ca="1" si="137"/>
        <v>0.15470510618006794</v>
      </c>
      <c r="V215" s="55">
        <f t="shared" ca="1" si="137"/>
        <v>0.15505851973202203</v>
      </c>
    </row>
    <row r="216" spans="2:22" s="80" customFormat="1" ht="13.5" customHeight="1" outlineLevel="1">
      <c r="B216" s="38" t="s">
        <v>245</v>
      </c>
      <c r="C216" s="38"/>
      <c r="D216" s="197"/>
      <c r="E216" s="58">
        <f>E155/E150</f>
        <v>3.0927835051546389E-2</v>
      </c>
      <c r="F216" s="58">
        <f>F155/F150</f>
        <v>3.0441400304414001E-2</v>
      </c>
      <c r="G216" s="58">
        <f>G155/G150</f>
        <v>2.9810298102981029E-2</v>
      </c>
      <c r="H216" s="58">
        <f>H155/H150</f>
        <v>2.9411764705882349E-2</v>
      </c>
      <c r="I216" s="58">
        <f>I155/I150</f>
        <v>2.8947368421052631E-2</v>
      </c>
      <c r="K216" s="194"/>
      <c r="L216" s="194"/>
      <c r="M216" s="58">
        <f t="shared" ref="M216:V216" ca="1" si="138">M155/M150</f>
        <v>3.4706959706959709E-2</v>
      </c>
      <c r="N216" s="58">
        <f t="shared" ca="1" si="138"/>
        <v>3.452254440564749E-2</v>
      </c>
      <c r="O216" s="58">
        <f t="shared" ca="1" si="138"/>
        <v>3.42170995215023E-2</v>
      </c>
      <c r="P216" s="58">
        <f t="shared" ca="1" si="138"/>
        <v>3.4177159890698035E-2</v>
      </c>
      <c r="Q216" s="58">
        <f t="shared" ca="1" si="138"/>
        <v>3.4137573633496843E-2</v>
      </c>
      <c r="R216" s="58">
        <f t="shared" ca="1" si="138"/>
        <v>3.4098337623357469E-2</v>
      </c>
      <c r="S216" s="58">
        <f t="shared" ca="1" si="138"/>
        <v>3.4059448761401337E-2</v>
      </c>
      <c r="T216" s="58">
        <f t="shared" ca="1" si="138"/>
        <v>3.0782453716814224E-2</v>
      </c>
      <c r="U216" s="58">
        <f t="shared" ca="1" si="138"/>
        <v>2.9702970297029702E-2</v>
      </c>
      <c r="V216" s="58">
        <f t="shared" ca="1" si="138"/>
        <v>2.9702970297029702E-2</v>
      </c>
    </row>
    <row r="217" spans="2:22" s="80" customFormat="1" ht="13.5" customHeight="1" outlineLevel="1">
      <c r="B217" s="38" t="s">
        <v>247</v>
      </c>
      <c r="C217" s="38"/>
      <c r="D217" s="197"/>
      <c r="E217" s="58">
        <f>E157/E150</f>
        <v>4.2174320524835988E-2</v>
      </c>
      <c r="F217" s="58">
        <f>F157/F150</f>
        <v>4.1511000415110001E-2</v>
      </c>
      <c r="G217" s="58">
        <f>G157/G150</f>
        <v>4.065040650406504E-2</v>
      </c>
      <c r="H217" s="58">
        <f>H157/H150</f>
        <v>4.0106951871657755E-2</v>
      </c>
      <c r="I217" s="58">
        <f>I157/I150</f>
        <v>3.9473684210526314E-2</v>
      </c>
      <c r="K217" s="194"/>
      <c r="L217" s="194"/>
      <c r="M217" s="58">
        <f t="shared" ref="M217:V217" ca="1" si="139">M157/M150</f>
        <v>8.9297158499599349E-2</v>
      </c>
      <c r="N217" s="58">
        <f t="shared" ca="1" si="139"/>
        <v>8.9035218231269919E-2</v>
      </c>
      <c r="O217" s="58">
        <f t="shared" ca="1" si="139"/>
        <v>8.8247461929244791E-2</v>
      </c>
      <c r="P217" s="58">
        <f t="shared" ca="1" si="139"/>
        <v>8.7839445340865824E-2</v>
      </c>
      <c r="Q217" s="58">
        <f t="shared" ca="1" si="139"/>
        <v>8.7435038758113953E-2</v>
      </c>
      <c r="R217" s="58">
        <f t="shared" ca="1" si="139"/>
        <v>5.3357457131499877E-2</v>
      </c>
      <c r="S217" s="58">
        <f t="shared" ca="1" si="139"/>
        <v>4.2131872761744252E-2</v>
      </c>
      <c r="T217" s="58">
        <f t="shared" ca="1" si="139"/>
        <v>4.2131872761744259E-2</v>
      </c>
      <c r="U217" s="58">
        <f t="shared" ca="1" si="139"/>
        <v>4.2131872761744259E-2</v>
      </c>
      <c r="V217" s="58">
        <f t="shared" ca="1" si="139"/>
        <v>4.2131872761744259E-2</v>
      </c>
    </row>
    <row r="218" spans="2:22" ht="13.5" customHeight="1" outlineLevel="1">
      <c r="B218" s="196" t="s">
        <v>139</v>
      </c>
      <c r="D218" s="197"/>
      <c r="E218" s="58">
        <f>E158/E150</f>
        <v>2.7179006560449859E-2</v>
      </c>
      <c r="F218" s="58">
        <f>F158/F150</f>
        <v>1.8495456851621225E-2</v>
      </c>
      <c r="G218" s="58">
        <f>G158/G150</f>
        <v>2.6196928635953076E-2</v>
      </c>
      <c r="H218" s="58">
        <f>H158/H150</f>
        <v>2.7629233511586433E-2</v>
      </c>
      <c r="I218" s="58">
        <f>I158/I150</f>
        <v>2.7192982456140331E-2</v>
      </c>
      <c r="K218" s="194"/>
      <c r="L218" s="194"/>
      <c r="M218" s="198">
        <f ca="1">M1229</f>
        <v>2.2649572649572649E-2</v>
      </c>
      <c r="N218" s="198">
        <f t="shared" ref="N218:V218" ca="1" si="140">N1229</f>
        <v>2.2741764080765142E-2</v>
      </c>
      <c r="O218" s="198">
        <f ca="1">O1229</f>
        <v>2.2540551927533178E-2</v>
      </c>
      <c r="P218" s="198">
        <f t="shared" ca="1" si="140"/>
        <v>2.2540551927533178E-2</v>
      </c>
      <c r="Q218" s="198">
        <f t="shared" ca="1" si="140"/>
        <v>2.2540551927533178E-2</v>
      </c>
      <c r="R218" s="198">
        <f t="shared" ca="1" si="140"/>
        <v>2.2540551927533178E-2</v>
      </c>
      <c r="S218" s="198">
        <f t="shared" ca="1" si="140"/>
        <v>2.2540551927533178E-2</v>
      </c>
      <c r="T218" s="198">
        <f t="shared" ca="1" si="140"/>
        <v>2.2540551927533178E-2</v>
      </c>
      <c r="U218" s="198">
        <f t="shared" ca="1" si="140"/>
        <v>2.2540551927533178E-2</v>
      </c>
      <c r="V218" s="198">
        <f t="shared" ca="1" si="140"/>
        <v>2.2540551927533178E-2</v>
      </c>
    </row>
    <row r="219" spans="2:22" ht="13.5" customHeight="1" outlineLevel="1">
      <c r="B219" s="196" t="s">
        <v>190</v>
      </c>
      <c r="D219" s="199"/>
      <c r="E219" s="75">
        <f>E205/E150</f>
        <v>4.6860356138706656E-2</v>
      </c>
      <c r="F219" s="75">
        <f>F205/F150</f>
        <v>4.7292627308290223E-2</v>
      </c>
      <c r="G219" s="75">
        <f>G205/G150</f>
        <v>4.6860356138706656E-2</v>
      </c>
      <c r="H219" s="75">
        <f>H205/H150</f>
        <v>4.6860356138706656E-2</v>
      </c>
      <c r="I219" s="75">
        <f>I205/I150</f>
        <v>4.6860356138706656E-2</v>
      </c>
      <c r="K219" s="194"/>
      <c r="L219" s="55"/>
      <c r="M219" s="198">
        <f ca="1">M1236</f>
        <v>3.6324786324786328E-2</v>
      </c>
      <c r="N219" s="198">
        <f t="shared" ref="N219:V219" ca="1" si="141">N1236</f>
        <v>3.8257173219978749E-2</v>
      </c>
      <c r="O219" s="198">
        <f t="shared" ca="1" si="141"/>
        <v>4.0025279123657047E-2</v>
      </c>
      <c r="P219" s="198">
        <f t="shared" ca="1" si="141"/>
        <v>4.0025279123657047E-2</v>
      </c>
      <c r="Q219" s="198">
        <f t="shared" ca="1" si="141"/>
        <v>4.0025279123657047E-2</v>
      </c>
      <c r="R219" s="198">
        <f t="shared" ca="1" si="141"/>
        <v>4.0025279123657047E-2</v>
      </c>
      <c r="S219" s="198">
        <f t="shared" ca="1" si="141"/>
        <v>4.0025279123657047E-2</v>
      </c>
      <c r="T219" s="198">
        <f t="shared" ca="1" si="141"/>
        <v>4.0025279123657047E-2</v>
      </c>
      <c r="U219" s="198">
        <f t="shared" ca="1" si="141"/>
        <v>4.0025279123657047E-2</v>
      </c>
      <c r="V219" s="198">
        <f t="shared" ca="1" si="141"/>
        <v>4.0025279123657047E-2</v>
      </c>
    </row>
    <row r="220" spans="2:22" ht="13.5" customHeight="1" outlineLevel="1">
      <c r="B220" s="196"/>
      <c r="D220" s="197"/>
      <c r="E220" s="197"/>
      <c r="F220" s="200"/>
      <c r="G220" s="201"/>
      <c r="H220" s="201"/>
      <c r="I220" s="201"/>
      <c r="K220" s="194"/>
      <c r="L220" s="194"/>
      <c r="M220" s="201"/>
      <c r="N220" s="201"/>
      <c r="O220" s="201"/>
      <c r="P220" s="201"/>
      <c r="Q220" s="201"/>
      <c r="R220" s="201"/>
      <c r="S220" s="201"/>
      <c r="T220" s="201"/>
      <c r="U220" s="201"/>
      <c r="V220" s="201"/>
    </row>
    <row r="221" spans="2:22" ht="13.5" customHeight="1" outlineLevel="1">
      <c r="B221" s="196" t="s">
        <v>410</v>
      </c>
      <c r="D221" s="197"/>
      <c r="E221" s="195">
        <f>D221</f>
        <v>0</v>
      </c>
      <c r="F221" s="75">
        <f>E221</f>
        <v>0</v>
      </c>
      <c r="G221" s="75">
        <f t="shared" ref="G221:I222" si="142">F221</f>
        <v>0</v>
      </c>
      <c r="H221" s="75">
        <f t="shared" si="142"/>
        <v>0</v>
      </c>
      <c r="I221" s="75">
        <f t="shared" si="142"/>
        <v>0</v>
      </c>
      <c r="K221" s="194"/>
      <c r="L221" s="194"/>
      <c r="M221" s="195">
        <f>L221</f>
        <v>0</v>
      </c>
      <c r="N221" s="523">
        <v>1</v>
      </c>
      <c r="O221" s="201">
        <f>N221</f>
        <v>1</v>
      </c>
      <c r="P221" s="201">
        <f t="shared" ref="P221:V221" si="143">O221</f>
        <v>1</v>
      </c>
      <c r="Q221" s="201">
        <f t="shared" si="143"/>
        <v>1</v>
      </c>
      <c r="R221" s="201">
        <f t="shared" si="143"/>
        <v>1</v>
      </c>
      <c r="S221" s="201">
        <f t="shared" si="143"/>
        <v>1</v>
      </c>
      <c r="T221" s="201">
        <f t="shared" si="143"/>
        <v>1</v>
      </c>
      <c r="U221" s="201">
        <f t="shared" si="143"/>
        <v>1</v>
      </c>
      <c r="V221" s="201">
        <f t="shared" si="143"/>
        <v>1</v>
      </c>
    </row>
    <row r="222" spans="2:22" ht="13.5" customHeight="1" outlineLevel="1">
      <c r="B222" s="196" t="s">
        <v>411</v>
      </c>
      <c r="D222" s="197"/>
      <c r="E222" s="195">
        <f>D222</f>
        <v>0</v>
      </c>
      <c r="F222" s="75">
        <f>E222</f>
        <v>0</v>
      </c>
      <c r="G222" s="75">
        <f t="shared" si="142"/>
        <v>0</v>
      </c>
      <c r="H222" s="75">
        <f t="shared" si="142"/>
        <v>0</v>
      </c>
      <c r="I222" s="75">
        <f t="shared" si="142"/>
        <v>0</v>
      </c>
      <c r="K222" s="194"/>
      <c r="L222" s="194"/>
      <c r="M222" s="195">
        <f>L222</f>
        <v>0</v>
      </c>
      <c r="N222" s="523">
        <v>1</v>
      </c>
      <c r="O222" s="201">
        <f>N222</f>
        <v>1</v>
      </c>
      <c r="P222" s="201">
        <f t="shared" ref="P222:V222" si="144">O222</f>
        <v>1</v>
      </c>
      <c r="Q222" s="201">
        <f t="shared" si="144"/>
        <v>1</v>
      </c>
      <c r="R222" s="201">
        <f t="shared" si="144"/>
        <v>1</v>
      </c>
      <c r="S222" s="201">
        <f t="shared" si="144"/>
        <v>1</v>
      </c>
      <c r="T222" s="201">
        <f t="shared" si="144"/>
        <v>1</v>
      </c>
      <c r="U222" s="201">
        <f t="shared" si="144"/>
        <v>1</v>
      </c>
      <c r="V222" s="201">
        <f t="shared" si="144"/>
        <v>1</v>
      </c>
    </row>
    <row r="223" spans="2:22" ht="13.5" customHeight="1" outlineLevel="1">
      <c r="B223" s="196"/>
      <c r="D223" s="197"/>
      <c r="E223" s="197"/>
      <c r="F223" s="200"/>
      <c r="G223" s="201"/>
      <c r="H223" s="201"/>
      <c r="I223" s="201"/>
      <c r="K223" s="194"/>
      <c r="L223" s="194"/>
      <c r="M223" s="201"/>
      <c r="N223" s="201"/>
      <c r="O223" s="201"/>
      <c r="P223" s="201"/>
      <c r="Q223" s="201"/>
      <c r="R223" s="201"/>
      <c r="S223" s="201"/>
      <c r="T223" s="201"/>
      <c r="U223" s="201"/>
      <c r="V223" s="201"/>
    </row>
    <row r="224" spans="2:22" s="80" customFormat="1" ht="13.5" customHeight="1" outlineLevel="1">
      <c r="B224" s="196" t="s">
        <v>186</v>
      </c>
      <c r="C224" s="38"/>
      <c r="D224" s="197"/>
      <c r="E224" s="198">
        <f>E152/E150</f>
        <v>0.48734770384254922</v>
      </c>
      <c r="F224" s="198">
        <f>F152/F150</f>
        <v>0.48249619482496192</v>
      </c>
      <c r="G224" s="198">
        <f>G152/G150</f>
        <v>0.48690153568202355</v>
      </c>
      <c r="H224" s="198">
        <f>H152/H150</f>
        <v>0.48752228163992872</v>
      </c>
      <c r="I224" s="198">
        <f>I152/I150</f>
        <v>0.48771929824561405</v>
      </c>
      <c r="K224" s="194"/>
      <c r="L224" s="197"/>
      <c r="M224" s="198">
        <f t="shared" ref="M224:V224" ca="1" si="145">M152/M150</f>
        <v>0.46623931623931619</v>
      </c>
      <c r="N224" s="198">
        <f t="shared" ca="1" si="145"/>
        <v>0.48522848034006383</v>
      </c>
      <c r="O224" s="198">
        <f t="shared" ca="1" si="145"/>
        <v>0.48978302085527692</v>
      </c>
      <c r="P224" s="198">
        <f t="shared" ca="1" si="145"/>
        <v>0.4895966359115238</v>
      </c>
      <c r="Q224" s="198">
        <f t="shared" ca="1" si="145"/>
        <v>0.4894119000445849</v>
      </c>
      <c r="R224" s="198">
        <f t="shared" ca="1" si="145"/>
        <v>0.48922879866393443</v>
      </c>
      <c r="S224" s="198">
        <f t="shared" ca="1" si="145"/>
        <v>0.48904731730813922</v>
      </c>
      <c r="T224" s="198">
        <f t="shared" ca="1" si="145"/>
        <v>0.48886744164371598</v>
      </c>
      <c r="U224" s="198">
        <f t="shared" ca="1" si="145"/>
        <v>0.4886891574640001</v>
      </c>
      <c r="V224" s="198">
        <f t="shared" ca="1" si="145"/>
        <v>0.48851245068802307</v>
      </c>
    </row>
    <row r="225" spans="1:22" s="80" customFormat="1" ht="13.5" customHeight="1" outlineLevel="1">
      <c r="B225" s="196" t="s">
        <v>137</v>
      </c>
      <c r="C225" s="38"/>
      <c r="D225" s="197"/>
      <c r="E225" s="198">
        <f>E154/E150</f>
        <v>0.29803186504217433</v>
      </c>
      <c r="F225" s="198">
        <f>F154/F150</f>
        <v>0.29154559291545595</v>
      </c>
      <c r="G225" s="198">
        <f>G154/G150</f>
        <v>0.29719963866305332</v>
      </c>
      <c r="H225" s="198">
        <f>H154/H150</f>
        <v>0.29857397504456329</v>
      </c>
      <c r="I225" s="198">
        <f>I154/I150</f>
        <v>0.2982456140350877</v>
      </c>
      <c r="K225" s="194"/>
      <c r="L225" s="197"/>
      <c r="M225" s="198">
        <f t="shared" ref="M225:V225" ca="1" si="146">M154/M$150</f>
        <v>0.27029914529914523</v>
      </c>
      <c r="N225" s="198">
        <f t="shared" ca="1" si="146"/>
        <v>0.33134962805526041</v>
      </c>
      <c r="O225" s="198">
        <f t="shared" ca="1" si="146"/>
        <v>0.33726564145776267</v>
      </c>
      <c r="P225" s="198">
        <f t="shared" ca="1" si="146"/>
        <v>0.3367064866265031</v>
      </c>
      <c r="Q225" s="198">
        <f t="shared" ca="1" si="146"/>
        <v>0.3361522790256864</v>
      </c>
      <c r="R225" s="198">
        <f t="shared" ca="1" si="146"/>
        <v>0.33560297488373508</v>
      </c>
      <c r="S225" s="198">
        <f t="shared" ca="1" si="146"/>
        <v>0.33505853081634934</v>
      </c>
      <c r="T225" s="198">
        <f t="shared" ca="1" si="146"/>
        <v>0.33451890382307969</v>
      </c>
      <c r="U225" s="198">
        <f t="shared" ca="1" si="146"/>
        <v>0.33398405128393216</v>
      </c>
      <c r="V225" s="198">
        <f t="shared" ca="1" si="146"/>
        <v>0.33345393095600101</v>
      </c>
    </row>
    <row r="226" spans="1:22" s="80" customFormat="1" ht="13.5" customHeight="1" outlineLevel="1">
      <c r="B226" s="196" t="s">
        <v>138</v>
      </c>
      <c r="C226" s="38"/>
      <c r="D226" s="197"/>
      <c r="E226" s="198">
        <f>E156/E150</f>
        <v>0.26710402999062793</v>
      </c>
      <c r="F226" s="198">
        <f>F156/F150</f>
        <v>0.2611041926110419</v>
      </c>
      <c r="G226" s="198">
        <f>G156/G150</f>
        <v>0.2673893405600723</v>
      </c>
      <c r="H226" s="198">
        <f>H156/H150</f>
        <v>0.26916221033868093</v>
      </c>
      <c r="I226" s="198">
        <f>I156/I150</f>
        <v>0.26929824561403509</v>
      </c>
      <c r="K226" s="194"/>
      <c r="L226" s="194"/>
      <c r="M226" s="198">
        <f t="shared" ref="M226:V226" ca="1" si="147">M156/M$150</f>
        <v>0.23559218559218553</v>
      </c>
      <c r="N226" s="198">
        <f t="shared" ca="1" si="147"/>
        <v>0.29682708364961297</v>
      </c>
      <c r="O226" s="198">
        <f t="shared" ca="1" si="147"/>
        <v>0.30304854193626035</v>
      </c>
      <c r="P226" s="198">
        <f t="shared" ca="1" si="147"/>
        <v>0.30252932673580507</v>
      </c>
      <c r="Q226" s="198">
        <f t="shared" ca="1" si="147"/>
        <v>0.30201470539218955</v>
      </c>
      <c r="R226" s="198">
        <f t="shared" ca="1" si="147"/>
        <v>0.30150463726037763</v>
      </c>
      <c r="S226" s="198">
        <f t="shared" ca="1" si="147"/>
        <v>0.30099908205494796</v>
      </c>
      <c r="T226" s="198">
        <f t="shared" ca="1" si="147"/>
        <v>0.30373645010626543</v>
      </c>
      <c r="U226" s="198">
        <f t="shared" ca="1" si="147"/>
        <v>0.30428108098690243</v>
      </c>
      <c r="V226" s="198">
        <f t="shared" ca="1" si="147"/>
        <v>0.30375096065897128</v>
      </c>
    </row>
    <row r="227" spans="1:22" s="80" customFormat="1" ht="13.5" customHeight="1" outlineLevel="1">
      <c r="B227" s="196" t="s">
        <v>140</v>
      </c>
      <c r="C227" s="38"/>
      <c r="D227" s="197"/>
      <c r="E227" s="198">
        <f>E159/E150</f>
        <v>0.19775070290534208</v>
      </c>
      <c r="F227" s="198">
        <f>F159/F150</f>
        <v>0.20109773534431069</v>
      </c>
      <c r="G227" s="198">
        <f>G159/G150</f>
        <v>0.20054200542005418</v>
      </c>
      <c r="H227" s="198">
        <f>H159/H150</f>
        <v>0.20142602495543674</v>
      </c>
      <c r="I227" s="198">
        <f>I159/I150</f>
        <v>0.20263157894736844</v>
      </c>
      <c r="K227" s="194"/>
      <c r="L227" s="194"/>
      <c r="M227" s="198">
        <f t="shared" ref="M227:V227" ca="1" si="148">M159/M$150</f>
        <v>0.12364545444301353</v>
      </c>
      <c r="N227" s="198">
        <f t="shared" ca="1" si="148"/>
        <v>0.1850501013375779</v>
      </c>
      <c r="O227" s="198">
        <f t="shared" ca="1" si="148"/>
        <v>0.19226052807948238</v>
      </c>
      <c r="P227" s="198">
        <f t="shared" ca="1" si="148"/>
        <v>0.19214932946740604</v>
      </c>
      <c r="Q227" s="198">
        <f t="shared" ca="1" si="148"/>
        <v>0.19203911470654245</v>
      </c>
      <c r="R227" s="198">
        <f t="shared" ca="1" si="148"/>
        <v>0.22560662820134456</v>
      </c>
      <c r="S227" s="198">
        <f t="shared" ca="1" si="148"/>
        <v>0.23632665736567054</v>
      </c>
      <c r="T227" s="198">
        <f t="shared" ca="1" si="148"/>
        <v>0.23906402541698801</v>
      </c>
      <c r="U227" s="198">
        <f t="shared" ca="1" si="148"/>
        <v>0.23960865629762501</v>
      </c>
      <c r="V227" s="198">
        <f t="shared" ca="1" si="148"/>
        <v>0.23907853596969386</v>
      </c>
    </row>
    <row r="228" spans="1:22" s="80" customFormat="1" ht="13.5" customHeight="1" outlineLevel="1">
      <c r="B228" s="196" t="s">
        <v>142</v>
      </c>
      <c r="C228" s="38"/>
      <c r="D228" s="197"/>
      <c r="E228" s="198">
        <f ca="1">E184/E150</f>
        <v>7.8584817244611069E-2</v>
      </c>
      <c r="F228" s="198">
        <f ca="1">F184/F150</f>
        <v>8.158315281813569E-2</v>
      </c>
      <c r="G228" s="198">
        <f ca="1">G184/G150</f>
        <v>8.2240474085365847E-2</v>
      </c>
      <c r="H228" s="198">
        <f ca="1">H184/H150</f>
        <v>8.3458282364081995E-2</v>
      </c>
      <c r="I228" s="198">
        <f ca="1">I184/I150</f>
        <v>8.4991384046052637E-2</v>
      </c>
      <c r="K228" s="194"/>
      <c r="L228" s="194"/>
      <c r="M228" s="198">
        <f t="shared" ref="M228:V228" ca="1" si="149">M184/M$150</f>
        <v>4.8856562627724878E-2</v>
      </c>
      <c r="N228" s="198">
        <f t="shared" ca="1" si="149"/>
        <v>9.3460590917142081E-2</v>
      </c>
      <c r="O228" s="198">
        <f t="shared" ca="1" si="149"/>
        <v>9.8604919308692293E-2</v>
      </c>
      <c r="P228" s="198">
        <f t="shared" ca="1" si="149"/>
        <v>9.9142393270416296E-2</v>
      </c>
      <c r="Q228" s="198">
        <f t="shared" ca="1" si="149"/>
        <v>0.10206499491818702</v>
      </c>
      <c r="R228" s="198">
        <f t="shared" ca="1" si="149"/>
        <v>0.12631912097667375</v>
      </c>
      <c r="S228" s="198">
        <f t="shared" ca="1" si="149"/>
        <v>0.14082827233990092</v>
      </c>
      <c r="T228" s="198">
        <f t="shared" ca="1" si="149"/>
        <v>0.14435881120499366</v>
      </c>
      <c r="U228" s="198">
        <f t="shared" ca="1" si="149"/>
        <v>0.16004375775835</v>
      </c>
      <c r="V228" s="198">
        <f t="shared" ca="1" si="149"/>
        <v>0.16103685031026541</v>
      </c>
    </row>
    <row r="229" spans="1:22" s="80" customFormat="1" ht="13.5" customHeight="1" outlineLevel="1">
      <c r="B229" s="196" t="s">
        <v>188</v>
      </c>
      <c r="C229" s="38"/>
      <c r="D229" s="38"/>
      <c r="E229" s="198">
        <f ca="1">E191/E150</f>
        <v>0.12366447985004687</v>
      </c>
      <c r="F229" s="198">
        <f ca="1">F191/F150</f>
        <v>0.12058717002213919</v>
      </c>
      <c r="G229" s="198">
        <f ca="1">G191/G150</f>
        <v>0.1256910413843722</v>
      </c>
      <c r="H229" s="198">
        <f ca="1">H191/H150</f>
        <v>0.12748659965463455</v>
      </c>
      <c r="I229" s="198">
        <f ca="1">I191/I150</f>
        <v>0.12832451737938597</v>
      </c>
      <c r="K229" s="194"/>
      <c r="L229" s="194"/>
      <c r="M229" s="198">
        <f t="shared" ref="M229:V229" ca="1" si="150">M191/M150</f>
        <v>0.12312953158272279</v>
      </c>
      <c r="N229" s="198">
        <f t="shared" ca="1" si="150"/>
        <v>0.16761521125920159</v>
      </c>
      <c r="O229" s="198">
        <f t="shared" ca="1" si="150"/>
        <v>0.17210344231467292</v>
      </c>
      <c r="P229" s="198">
        <f t="shared" ca="1" si="150"/>
        <v>0.17236255332696376</v>
      </c>
      <c r="Q229" s="198">
        <f t="shared" ca="1" si="150"/>
        <v>0.17500925489529834</v>
      </c>
      <c r="R229" s="198">
        <f t="shared" ca="1" si="150"/>
        <v>0.17655016566448151</v>
      </c>
      <c r="S229" s="198">
        <f t="shared" ca="1" si="150"/>
        <v>0.1835730788537587</v>
      </c>
      <c r="T229" s="198">
        <f t="shared" ca="1" si="150"/>
        <v>0.18657110848185232</v>
      </c>
      <c r="U229" s="198">
        <f t="shared" ca="1" si="150"/>
        <v>0.20208063978910629</v>
      </c>
      <c r="V229" s="198">
        <f t="shared" ca="1" si="150"/>
        <v>0.20307373234102166</v>
      </c>
    </row>
    <row r="230" spans="1:22" s="80" customFormat="1" ht="13.5" customHeight="1" outlineLevel="1">
      <c r="B230" s="196"/>
      <c r="C230" s="38"/>
      <c r="D230" s="38"/>
      <c r="E230" s="198"/>
      <c r="F230" s="198"/>
      <c r="G230" s="198"/>
      <c r="H230" s="198"/>
      <c r="I230" s="198"/>
      <c r="K230" s="194"/>
      <c r="L230" s="194"/>
      <c r="M230" s="198"/>
      <c r="N230" s="198"/>
      <c r="O230" s="198"/>
      <c r="P230" s="198"/>
      <c r="Q230" s="198"/>
      <c r="R230" s="198"/>
      <c r="S230" s="198"/>
      <c r="T230" s="198"/>
      <c r="U230" s="198"/>
      <c r="V230" s="198"/>
    </row>
    <row r="231" spans="1:22" s="80" customFormat="1" ht="13.5" customHeight="1" outlineLevel="1">
      <c r="B231" s="196" t="s">
        <v>685</v>
      </c>
      <c r="C231" s="38"/>
      <c r="D231" s="38"/>
      <c r="E231" s="198">
        <f ca="1">(E159+E175-SUM(E173:E174,E176:E177,E179))/SUM(E283,E287:E292)/E148</f>
        <v>0.2023467834669806</v>
      </c>
      <c r="F231" s="198">
        <f ca="1">(F159+F175-SUM(F173:F174,F176:F177,F179))/SUM(F283,F287:F292)/F148</f>
        <v>0.20225519820206286</v>
      </c>
      <c r="G231" s="198">
        <f ca="1">(G159+G175-SUM(G173:G174,G176:G177,G179))/SUM(G283,G287:G292)/G148</f>
        <v>0.19927512536386088</v>
      </c>
      <c r="H231" s="198">
        <f ca="1">(H159+H175-SUM(H173:H174,H176:H177,H179))/SUM(H283,H287:H292)/H148</f>
        <v>0.19621359345624043</v>
      </c>
      <c r="I231" s="198">
        <f ca="1">(I159+I175-SUM(I173:I174,I176:I177,I179))/SUM(I283,I287:I292)/I148</f>
        <v>0.19386444423569915</v>
      </c>
      <c r="K231" s="194"/>
      <c r="L231" s="194"/>
      <c r="M231" s="198">
        <f t="shared" ref="M231:V231" ca="1" si="151">(M159+M175-SUM(M173:M174,M176:M177,M179))/SUM(M283,M287:M292)/M148</f>
        <v>6.2922044504521171E-2</v>
      </c>
      <c r="N231" s="198">
        <f t="shared" ca="1" si="151"/>
        <v>8.1651635646798587E-2</v>
      </c>
      <c r="O231" s="198">
        <f t="shared" ca="1" si="151"/>
        <v>7.869245967389768E-2</v>
      </c>
      <c r="P231" s="198">
        <f t="shared" ca="1" si="151"/>
        <v>7.3567935804227949E-2</v>
      </c>
      <c r="Q231" s="198">
        <f t="shared" ca="1" si="151"/>
        <v>6.8583669952299781E-2</v>
      </c>
      <c r="R231" s="198">
        <f t="shared" ca="1" si="151"/>
        <v>7.846265155024143E-2</v>
      </c>
      <c r="S231" s="198">
        <f t="shared" ca="1" si="151"/>
        <v>7.4563021613108779E-2</v>
      </c>
      <c r="T231" s="198">
        <f t="shared" ca="1" si="151"/>
        <v>7.7305160197018885E-2</v>
      </c>
      <c r="U231" s="198">
        <f t="shared" ca="1" si="151"/>
        <v>6.8165458187168598E-2</v>
      </c>
      <c r="V231" s="198">
        <f t="shared" ca="1" si="151"/>
        <v>6.3046254567912699E-2</v>
      </c>
    </row>
    <row r="232" spans="1:22" s="80" customFormat="1" ht="13.5" customHeight="1" outlineLevel="1">
      <c r="B232" s="196" t="s">
        <v>680</v>
      </c>
      <c r="C232" s="38"/>
      <c r="D232" s="38"/>
      <c r="E232" s="198">
        <f ca="1">E$184/SUM(E290:E292)/E$148</f>
        <v>0.34275903651395462</v>
      </c>
      <c r="F232" s="198">
        <f ca="1">F$184/SUM(F290:F292)/F$148</f>
        <v>0.33075388598331001</v>
      </c>
      <c r="G232" s="198">
        <f ca="1">G$184/SUM(G290:G292)/G$148</f>
        <v>0.31068072894082233</v>
      </c>
      <c r="H232" s="198">
        <f ca="1">H$184/SUM(H290:H292)/H$148</f>
        <v>0.29278168847435881</v>
      </c>
      <c r="I232" s="198">
        <f ca="1">I$184/SUM(I290:I292)/I$148</f>
        <v>0.27887145587329559</v>
      </c>
      <c r="K232" s="194"/>
      <c r="L232" s="194"/>
      <c r="M232" s="198">
        <f t="shared" ref="M232:V232" ca="1" si="152">M$184/SUM(M290:M292)/M$148</f>
        <v>4.2272801818015411E-2</v>
      </c>
      <c r="N232" s="198">
        <f t="shared" ca="1" si="152"/>
        <v>7.3834850828992479E-2</v>
      </c>
      <c r="O232" s="198">
        <f t="shared" ca="1" si="152"/>
        <v>7.1673473685249553E-2</v>
      </c>
      <c r="P232" s="198">
        <f t="shared" ca="1" si="152"/>
        <v>6.6750748814865909E-2</v>
      </c>
      <c r="Q232" s="198">
        <f t="shared" ca="1" si="152"/>
        <v>6.392137953597464E-2</v>
      </c>
      <c r="R232" s="198">
        <f t="shared" ca="1" si="152"/>
        <v>7.2955290787295138E-2</v>
      </c>
      <c r="S232" s="198">
        <f t="shared" ca="1" si="152"/>
        <v>7.4928234035733801E-2</v>
      </c>
      <c r="T232" s="198">
        <f t="shared" ca="1" si="152"/>
        <v>7.1120464297920905E-2</v>
      </c>
      <c r="U232" s="198">
        <f t="shared" ca="1" si="152"/>
        <v>7.293266829200977E-2</v>
      </c>
      <c r="V232" s="198">
        <f t="shared" ca="1" si="152"/>
        <v>6.8277433704922619E-2</v>
      </c>
    </row>
    <row r="233" spans="1:22" s="80" customFormat="1" ht="13.5" customHeight="1" outlineLevel="1">
      <c r="B233" s="196" t="s">
        <v>679</v>
      </c>
      <c r="C233" s="38"/>
      <c r="D233" s="38"/>
      <c r="E233" s="198">
        <f ca="1">E$184/E262/E$148</f>
        <v>7.7617867383139305E-2</v>
      </c>
      <c r="F233" s="198">
        <f ca="1">F$184/F262/F$148</f>
        <v>7.9737677597980117E-2</v>
      </c>
      <c r="G233" s="198">
        <f ca="1">G$184/G262/G$148</f>
        <v>8.0012180574469377E-2</v>
      </c>
      <c r="H233" s="198">
        <f ca="1">H$184/H262/H$148</f>
        <v>8.0194122848946253E-2</v>
      </c>
      <c r="I233" s="198">
        <f ca="1">I$184/I262/I$148</f>
        <v>8.0796272153994098E-2</v>
      </c>
      <c r="K233" s="194"/>
      <c r="L233" s="194"/>
      <c r="M233" s="198">
        <f t="shared" ref="M233:V233" ca="1" si="153">M$184/M262/M$148</f>
        <v>2.6627925157396242E-2</v>
      </c>
      <c r="N233" s="198">
        <f t="shared" ca="1" si="153"/>
        <v>4.8157532769695387E-2</v>
      </c>
      <c r="O233" s="198">
        <f t="shared" ca="1" si="153"/>
        <v>4.8064298160172055E-2</v>
      </c>
      <c r="P233" s="198">
        <f t="shared" ca="1" si="153"/>
        <v>4.5868982125952279E-2</v>
      </c>
      <c r="Q233" s="198">
        <f t="shared" ca="1" si="153"/>
        <v>4.4978392774125471E-2</v>
      </c>
      <c r="R233" s="198">
        <f t="shared" ca="1" si="153"/>
        <v>5.4993424932545658E-2</v>
      </c>
      <c r="S233" s="198">
        <f t="shared" ca="1" si="153"/>
        <v>5.7676434144131254E-2</v>
      </c>
      <c r="T233" s="198">
        <f t="shared" ca="1" si="153"/>
        <v>6.046599696441906E-2</v>
      </c>
      <c r="U233" s="198">
        <f t="shared" ca="1" si="153"/>
        <v>6.273904268055111E-2</v>
      </c>
      <c r="V233" s="198">
        <f t="shared" ca="1" si="153"/>
        <v>5.9335705359637864E-2</v>
      </c>
    </row>
    <row r="234" spans="1:22" s="80" customFormat="1" ht="13.5" customHeight="1" outlineLevel="1">
      <c r="B234" s="196"/>
      <c r="C234" s="38"/>
      <c r="D234" s="38"/>
      <c r="E234" s="198"/>
      <c r="F234" s="198"/>
      <c r="G234" s="198"/>
      <c r="H234" s="198"/>
      <c r="I234" s="198"/>
      <c r="K234" s="194"/>
      <c r="L234" s="194"/>
      <c r="M234" s="198"/>
      <c r="N234" s="198"/>
      <c r="O234" s="198"/>
      <c r="P234" s="198"/>
      <c r="Q234" s="198"/>
      <c r="R234" s="198"/>
      <c r="S234" s="198"/>
      <c r="T234" s="198"/>
      <c r="U234" s="198"/>
      <c r="V234" s="198"/>
    </row>
    <row r="235" spans="1:22" ht="13.5" customHeight="1" outlineLevel="1">
      <c r="B235" s="196" t="s">
        <v>187</v>
      </c>
      <c r="D235" s="199"/>
      <c r="E235" s="202">
        <f ca="1">E179/E178</f>
        <v>0.34999999999999992</v>
      </c>
      <c r="F235" s="198">
        <f>F996</f>
        <v>0.35000300000000006</v>
      </c>
      <c r="G235" s="198">
        <f t="shared" ref="G235:I235" si="154">G996</f>
        <v>0.35000300000000006</v>
      </c>
      <c r="H235" s="198">
        <f t="shared" si="154"/>
        <v>0.35000300000000006</v>
      </c>
      <c r="I235" s="198">
        <f t="shared" si="154"/>
        <v>0.35000300000000006</v>
      </c>
      <c r="K235" s="194"/>
      <c r="L235" s="194"/>
      <c r="M235" s="198">
        <f t="shared" ref="M235:V235" si="155">M996</f>
        <v>0.35000300000000006</v>
      </c>
      <c r="N235" s="198">
        <f t="shared" si="155"/>
        <v>0.35000300000000006</v>
      </c>
      <c r="O235" s="198">
        <f t="shared" si="155"/>
        <v>0.35000300000000006</v>
      </c>
      <c r="P235" s="198">
        <f t="shared" si="155"/>
        <v>0.35000300000000006</v>
      </c>
      <c r="Q235" s="198">
        <f t="shared" si="155"/>
        <v>0.35000300000000006</v>
      </c>
      <c r="R235" s="198">
        <f t="shared" si="155"/>
        <v>0.35000300000000006</v>
      </c>
      <c r="S235" s="198">
        <f t="shared" si="155"/>
        <v>0.35000300000000006</v>
      </c>
      <c r="T235" s="198">
        <f t="shared" si="155"/>
        <v>0.35000300000000006</v>
      </c>
      <c r="U235" s="198">
        <f t="shared" si="155"/>
        <v>0.35000300000000006</v>
      </c>
      <c r="V235" s="198">
        <f t="shared" si="155"/>
        <v>0.35000300000000006</v>
      </c>
    </row>
    <row r="236" spans="1:22" ht="5.0999999999999996" customHeight="1" outlineLevel="1" thickBot="1">
      <c r="B236" s="152"/>
      <c r="C236" s="152"/>
      <c r="D236" s="152"/>
      <c r="E236" s="152"/>
      <c r="F236" s="152"/>
      <c r="G236" s="152"/>
      <c r="H236" s="152"/>
      <c r="I236" s="152"/>
      <c r="J236" s="152"/>
      <c r="K236" s="152"/>
      <c r="L236" s="152"/>
      <c r="M236" s="152"/>
      <c r="N236" s="152"/>
      <c r="O236" s="152"/>
      <c r="P236" s="152"/>
      <c r="Q236" s="152"/>
      <c r="R236" s="152"/>
      <c r="S236" s="152"/>
      <c r="T236" s="152"/>
      <c r="U236" s="152"/>
      <c r="V236" s="152"/>
    </row>
    <row r="237" spans="1:22" outlineLevel="1"/>
    <row r="238" spans="1:22" ht="14.7" outlineLevel="1" thickBot="1">
      <c r="B238" s="201"/>
      <c r="I238" s="197"/>
      <c r="J238" s="197"/>
      <c r="K238" s="197"/>
      <c r="L238" s="197"/>
      <c r="M238" s="197"/>
      <c r="N238" s="197"/>
      <c r="O238" s="197"/>
      <c r="P238" s="197"/>
      <c r="Q238" s="197"/>
      <c r="R238" s="197"/>
      <c r="S238" s="197"/>
      <c r="T238" s="197"/>
      <c r="U238" s="197"/>
      <c r="V238" s="197"/>
    </row>
    <row r="239" spans="1:22" s="35" customFormat="1" ht="20.100000000000001" customHeight="1" thickTop="1">
      <c r="A239" s="41" t="s">
        <v>426</v>
      </c>
      <c r="B239" s="42" t="s">
        <v>74</v>
      </c>
      <c r="C239" s="43"/>
      <c r="D239" s="44"/>
      <c r="E239" s="44"/>
      <c r="F239" s="44"/>
      <c r="G239" s="44"/>
      <c r="H239" s="44"/>
      <c r="I239" s="44"/>
      <c r="J239" s="44"/>
      <c r="K239" s="44"/>
      <c r="L239" s="44"/>
      <c r="M239" s="44"/>
      <c r="N239" s="44"/>
      <c r="O239" s="44"/>
      <c r="P239" s="44"/>
      <c r="Q239" s="44"/>
      <c r="R239" s="44"/>
      <c r="S239" s="44"/>
      <c r="T239" s="44"/>
      <c r="U239" s="44"/>
      <c r="V239" s="44"/>
    </row>
    <row r="240" spans="1:22" outlineLevel="1">
      <c r="B240" s="45"/>
      <c r="V240" s="155" t="str">
        <f ca="1">err_msg</f>
        <v/>
      </c>
    </row>
    <row r="241" spans="2:22" s="203" customFormat="1" ht="13.5" customHeight="1" outlineLevel="1">
      <c r="D241" s="204"/>
      <c r="E241" s="205" t="s">
        <v>72</v>
      </c>
      <c r="F241" s="205" t="s">
        <v>196</v>
      </c>
      <c r="G241" s="205"/>
      <c r="H241" s="205"/>
      <c r="I241" s="205"/>
      <c r="J241" s="206" t="s">
        <v>194</v>
      </c>
      <c r="K241" s="205"/>
      <c r="L241" s="206" t="s">
        <v>23</v>
      </c>
      <c r="M241" s="205" t="str">
        <f>"Fiscal Years Ending "&amp;TEXT(K25, "mmmm d")&amp;","</f>
        <v>Fiscal Years Ending September 30,</v>
      </c>
      <c r="N241" s="205"/>
      <c r="O241" s="205"/>
      <c r="P241" s="205"/>
      <c r="Q241" s="205"/>
      <c r="R241" s="205"/>
      <c r="S241" s="205"/>
      <c r="T241" s="205"/>
      <c r="U241" s="205"/>
      <c r="V241" s="205"/>
    </row>
    <row r="242" spans="2:22" s="203" customFormat="1" ht="13.5" customHeight="1" outlineLevel="1">
      <c r="D242" s="207"/>
      <c r="E242" s="109" t="str">
        <f>E$145</f>
        <v>MRQ</v>
      </c>
      <c r="F242" s="109" t="str">
        <f>F$145</f>
        <v>MRQ+1</v>
      </c>
      <c r="G242" s="109" t="str">
        <f t="shared" ref="G242:I242" si="156">G$145</f>
        <v>MRQ+2</v>
      </c>
      <c r="H242" s="109" t="str">
        <f t="shared" si="156"/>
        <v>MRQ+3</v>
      </c>
      <c r="I242" s="109" t="str">
        <f t="shared" si="156"/>
        <v>MRQ+4</v>
      </c>
      <c r="J242" s="126" t="s">
        <v>195</v>
      </c>
      <c r="K242" s="206" t="s">
        <v>606</v>
      </c>
      <c r="L242" s="206" t="s">
        <v>195</v>
      </c>
      <c r="M242" s="501">
        <v>1</v>
      </c>
      <c r="N242" s="109">
        <f>M242+1</f>
        <v>2</v>
      </c>
      <c r="O242" s="109">
        <f t="shared" ref="O242:V242" si="157">N242+1</f>
        <v>3</v>
      </c>
      <c r="P242" s="109">
        <f t="shared" si="157"/>
        <v>4</v>
      </c>
      <c r="Q242" s="109">
        <f t="shared" si="157"/>
        <v>5</v>
      </c>
      <c r="R242" s="109">
        <f t="shared" si="157"/>
        <v>6</v>
      </c>
      <c r="S242" s="109">
        <f t="shared" si="157"/>
        <v>7</v>
      </c>
      <c r="T242" s="109">
        <f t="shared" si="157"/>
        <v>8</v>
      </c>
      <c r="U242" s="109">
        <f t="shared" si="157"/>
        <v>9</v>
      </c>
      <c r="V242" s="109">
        <f t="shared" si="157"/>
        <v>10</v>
      </c>
    </row>
    <row r="243" spans="2:22" s="203" customFormat="1" ht="13.5" customHeight="1" outlineLevel="1" thickBot="1">
      <c r="B243" s="130" t="s">
        <v>246</v>
      </c>
      <c r="C243" s="208"/>
      <c r="D243" s="208"/>
      <c r="E243" s="209">
        <f>E$146</f>
        <v>45016</v>
      </c>
      <c r="F243" s="209">
        <f>F$146</f>
        <v>45107</v>
      </c>
      <c r="G243" s="209">
        <f t="shared" ref="G243:I243" si="158">G$146</f>
        <v>45199</v>
      </c>
      <c r="H243" s="209">
        <f t="shared" si="158"/>
        <v>45291</v>
      </c>
      <c r="I243" s="209">
        <f t="shared" si="158"/>
        <v>45382</v>
      </c>
      <c r="J243" s="209">
        <f>close</f>
        <v>45291</v>
      </c>
      <c r="K243" s="210" t="s">
        <v>597</v>
      </c>
      <c r="L243" s="209">
        <f>close</f>
        <v>45291</v>
      </c>
      <c r="M243" s="211">
        <f>M$146</f>
        <v>45565</v>
      </c>
      <c r="N243" s="211">
        <f t="shared" ref="N243:V243" si="159">N$146</f>
        <v>45930</v>
      </c>
      <c r="O243" s="211">
        <f t="shared" si="159"/>
        <v>46295</v>
      </c>
      <c r="P243" s="211">
        <f t="shared" si="159"/>
        <v>46660</v>
      </c>
      <c r="Q243" s="211">
        <f t="shared" si="159"/>
        <v>47026</v>
      </c>
      <c r="R243" s="211">
        <f t="shared" si="159"/>
        <v>47391</v>
      </c>
      <c r="S243" s="211">
        <f t="shared" si="159"/>
        <v>47756</v>
      </c>
      <c r="T243" s="211">
        <f t="shared" si="159"/>
        <v>48121</v>
      </c>
      <c r="U243" s="211">
        <f t="shared" si="159"/>
        <v>48487</v>
      </c>
      <c r="V243" s="211">
        <f t="shared" si="159"/>
        <v>48852</v>
      </c>
    </row>
    <row r="244" spans="2:22" s="35" customFormat="1" ht="5.0999999999999996" customHeight="1" outlineLevel="1">
      <c r="B244" s="38"/>
      <c r="C244" s="38"/>
      <c r="D244" s="38"/>
      <c r="E244" s="38"/>
      <c r="F244" s="38"/>
      <c r="G244" s="38"/>
      <c r="H244" s="38"/>
      <c r="J244" s="38"/>
      <c r="K244" s="38"/>
      <c r="L244" s="38"/>
      <c r="M244" s="38"/>
      <c r="N244" s="38"/>
      <c r="O244" s="38"/>
      <c r="P244" s="38"/>
      <c r="Q244" s="38"/>
      <c r="R244" s="38"/>
      <c r="S244" s="38"/>
      <c r="T244" s="38"/>
      <c r="U244" s="38"/>
      <c r="V244" s="38"/>
    </row>
    <row r="245" spans="2:22" s="35" customFormat="1" ht="13.5" customHeight="1" outlineLevel="1">
      <c r="B245" s="46" t="s">
        <v>25</v>
      </c>
      <c r="C245" s="47"/>
      <c r="D245" s="47"/>
      <c r="E245" s="47"/>
      <c r="F245" s="47"/>
      <c r="G245" s="47"/>
      <c r="H245" s="47"/>
      <c r="I245" s="47"/>
      <c r="J245" s="47"/>
      <c r="K245" s="47"/>
      <c r="L245" s="47"/>
      <c r="M245" s="47"/>
      <c r="N245" s="47"/>
      <c r="O245" s="47"/>
      <c r="P245" s="47"/>
      <c r="Q245" s="47"/>
      <c r="R245" s="47"/>
      <c r="S245" s="47"/>
      <c r="T245" s="47"/>
      <c r="U245" s="47"/>
      <c r="V245" s="48"/>
    </row>
    <row r="246" spans="2:22" s="35" customFormat="1" ht="5.0999999999999996" customHeight="1" outlineLevel="1">
      <c r="K246" s="212"/>
    </row>
    <row r="247" spans="2:22" s="35" customFormat="1" ht="13.5" customHeight="1" outlineLevel="1">
      <c r="B247" s="88" t="s">
        <v>149</v>
      </c>
      <c r="C247" s="38"/>
      <c r="D247" s="59"/>
      <c r="E247" s="508">
        <v>146.60599999999999</v>
      </c>
      <c r="F247" s="54">
        <f ca="1">MAX(0,E247+F356)</f>
        <v>158.50724910569517</v>
      </c>
      <c r="G247" s="54">
        <f ca="1">MAX(0,F247+G356)</f>
        <v>169.66326462531586</v>
      </c>
      <c r="H247" s="54">
        <f ca="1">MAX(0,G247+H356)</f>
        <v>182.18834347164699</v>
      </c>
      <c r="I247" s="54">
        <f ca="1">MAX(0,H247+I356)</f>
        <v>194.90242744696224</v>
      </c>
      <c r="J247" s="213">
        <f ca="1">OFFSET(D247,0,MATCH(J$243,E$243:I$243))</f>
        <v>182.18834347164699</v>
      </c>
      <c r="K247" s="214">
        <f ca="1">L247-J247</f>
        <v>-82.188343471646988</v>
      </c>
      <c r="L247" s="213">
        <f ca="1">O1332</f>
        <v>100</v>
      </c>
      <c r="M247" s="54">
        <f t="shared" ref="M247:V247" ca="1" si="160">MAX(0,L247+M356)</f>
        <v>110.85264471836908</v>
      </c>
      <c r="N247" s="54">
        <f t="shared" ca="1" si="160"/>
        <v>206.0195373034054</v>
      </c>
      <c r="O247" s="54">
        <f t="shared" ca="1" si="160"/>
        <v>305.69100303217533</v>
      </c>
      <c r="P247" s="54">
        <f t="shared" ca="1" si="160"/>
        <v>405.98651969505573</v>
      </c>
      <c r="Q247" s="54">
        <f t="shared" ca="1" si="160"/>
        <v>506.39392440259991</v>
      </c>
      <c r="R247" s="54">
        <f t="shared" ca="1" si="160"/>
        <v>552.11042502983628</v>
      </c>
      <c r="S247" s="54">
        <f t="shared" ca="1" si="160"/>
        <v>650.18406154967431</v>
      </c>
      <c r="T247" s="54">
        <f t="shared" ca="1" si="160"/>
        <v>648.99472750485597</v>
      </c>
      <c r="U247" s="54">
        <f t="shared" ca="1" si="160"/>
        <v>755.91255677183017</v>
      </c>
      <c r="V247" s="54">
        <f t="shared" ca="1" si="160"/>
        <v>864.28648592159175</v>
      </c>
    </row>
    <row r="248" spans="2:22" s="35" customFormat="1" ht="13.5" customHeight="1" outlineLevel="1">
      <c r="B248" s="88" t="s">
        <v>150</v>
      </c>
      <c r="C248" s="38"/>
      <c r="D248" s="64"/>
      <c r="E248" s="509">
        <v>131.44300000000001</v>
      </c>
      <c r="F248" s="57">
        <f t="shared" ref="F248:I251" si="161">F368</f>
        <v>133.54337783505156</v>
      </c>
      <c r="G248" s="57">
        <f t="shared" si="161"/>
        <v>136.37057263355203</v>
      </c>
      <c r="H248" s="57">
        <f t="shared" si="161"/>
        <v>138.21841237113401</v>
      </c>
      <c r="I248" s="57">
        <f t="shared" si="161"/>
        <v>140.43582005623242</v>
      </c>
      <c r="J248" s="113">
        <f ca="1">OFFSET(D248,0,MATCH(J$243,E$243:I$243))</f>
        <v>138.21841237113401</v>
      </c>
      <c r="K248" s="215">
        <f ca="1">L248-J248</f>
        <v>0</v>
      </c>
      <c r="L248" s="113">
        <f ca="1">O1333</f>
        <v>138.21841237113401</v>
      </c>
      <c r="M248" s="57">
        <f t="shared" ref="M248:V248" ca="1" si="162">M368</f>
        <v>144.13149953139643</v>
      </c>
      <c r="N248" s="57">
        <f t="shared" ca="1" si="162"/>
        <v>144.90143275538892</v>
      </c>
      <c r="O248" s="57">
        <f t="shared" ca="1" si="162"/>
        <v>146.19492057169629</v>
      </c>
      <c r="P248" s="57">
        <f t="shared" ca="1" si="162"/>
        <v>147.49995493174117</v>
      </c>
      <c r="Q248" s="57">
        <f t="shared" ca="1" si="162"/>
        <v>148.81663890775246</v>
      </c>
      <c r="R248" s="57">
        <f t="shared" ca="1" si="162"/>
        <v>150.14507649205117</v>
      </c>
      <c r="S248" s="57">
        <f t="shared" ca="1" si="162"/>
        <v>151.48537260526396</v>
      </c>
      <c r="T248" s="57">
        <f t="shared" ca="1" si="162"/>
        <v>152.83763310460955</v>
      </c>
      <c r="U248" s="57">
        <f t="shared" ca="1" si="162"/>
        <v>154.20196479225962</v>
      </c>
      <c r="V248" s="57">
        <f t="shared" ca="1" si="162"/>
        <v>155.57847542377394</v>
      </c>
    </row>
    <row r="249" spans="2:22" s="35" customFormat="1" ht="13.5" customHeight="1" outlineLevel="1">
      <c r="B249" s="88" t="s">
        <v>75</v>
      </c>
      <c r="C249" s="38"/>
      <c r="D249" s="64"/>
      <c r="E249" s="509">
        <v>0</v>
      </c>
      <c r="F249" s="57">
        <f t="shared" si="161"/>
        <v>0</v>
      </c>
      <c r="G249" s="57">
        <f t="shared" si="161"/>
        <v>0</v>
      </c>
      <c r="H249" s="57">
        <f t="shared" si="161"/>
        <v>0</v>
      </c>
      <c r="I249" s="57">
        <f t="shared" si="161"/>
        <v>0</v>
      </c>
      <c r="J249" s="113">
        <f t="shared" ref="J249:J254" ca="1" si="163">OFFSET(D249,0,MATCH(J$243,E$243:I$243))</f>
        <v>0</v>
      </c>
      <c r="K249" s="215">
        <f ca="1">L249-J249</f>
        <v>0</v>
      </c>
      <c r="L249" s="113">
        <f ca="1">O1334</f>
        <v>0</v>
      </c>
      <c r="M249" s="57">
        <f t="shared" ref="M249:V249" ca="1" si="164">M369</f>
        <v>0</v>
      </c>
      <c r="N249" s="57">
        <f t="shared" ca="1" si="164"/>
        <v>0</v>
      </c>
      <c r="O249" s="57">
        <f t="shared" ca="1" si="164"/>
        <v>0</v>
      </c>
      <c r="P249" s="57">
        <f t="shared" ca="1" si="164"/>
        <v>0</v>
      </c>
      <c r="Q249" s="57">
        <f t="shared" ca="1" si="164"/>
        <v>0</v>
      </c>
      <c r="R249" s="57">
        <f t="shared" ca="1" si="164"/>
        <v>0</v>
      </c>
      <c r="S249" s="57">
        <f t="shared" ca="1" si="164"/>
        <v>0</v>
      </c>
      <c r="T249" s="57">
        <f t="shared" ca="1" si="164"/>
        <v>0</v>
      </c>
      <c r="U249" s="57">
        <f t="shared" ca="1" si="164"/>
        <v>0</v>
      </c>
      <c r="V249" s="57">
        <f t="shared" ca="1" si="164"/>
        <v>0</v>
      </c>
    </row>
    <row r="250" spans="2:22" s="35" customFormat="1" outlineLevel="1">
      <c r="B250" s="88" t="s">
        <v>267</v>
      </c>
      <c r="E250" s="509">
        <v>0</v>
      </c>
      <c r="F250" s="57">
        <f t="shared" si="161"/>
        <v>0</v>
      </c>
      <c r="G250" s="57">
        <f t="shared" si="161"/>
        <v>0</v>
      </c>
      <c r="H250" s="57">
        <f t="shared" si="161"/>
        <v>0</v>
      </c>
      <c r="I250" s="57">
        <f t="shared" si="161"/>
        <v>0</v>
      </c>
      <c r="J250" s="113">
        <f t="shared" ref="J250" ca="1" si="165">OFFSET(D250,0,MATCH(J$243,E$243:I$243))</f>
        <v>0</v>
      </c>
      <c r="K250" s="215">
        <f ca="1">L250-J250</f>
        <v>0</v>
      </c>
      <c r="L250" s="113">
        <f ca="1">O1335</f>
        <v>0</v>
      </c>
      <c r="M250" s="57">
        <f t="shared" ref="M250:V250" ca="1" si="166">M370</f>
        <v>0</v>
      </c>
      <c r="N250" s="57">
        <f t="shared" ca="1" si="166"/>
        <v>0</v>
      </c>
      <c r="O250" s="57">
        <f t="shared" ca="1" si="166"/>
        <v>0</v>
      </c>
      <c r="P250" s="57">
        <f t="shared" ca="1" si="166"/>
        <v>0</v>
      </c>
      <c r="Q250" s="57">
        <f t="shared" ca="1" si="166"/>
        <v>0</v>
      </c>
      <c r="R250" s="57">
        <f t="shared" ca="1" si="166"/>
        <v>0</v>
      </c>
      <c r="S250" s="57">
        <f t="shared" ca="1" si="166"/>
        <v>0</v>
      </c>
      <c r="T250" s="57">
        <f t="shared" ca="1" si="166"/>
        <v>0</v>
      </c>
      <c r="U250" s="57">
        <f t="shared" ca="1" si="166"/>
        <v>0</v>
      </c>
      <c r="V250" s="57">
        <f t="shared" ca="1" si="166"/>
        <v>0</v>
      </c>
    </row>
    <row r="251" spans="2:22" s="35" customFormat="1" ht="13.5" customHeight="1" outlineLevel="1">
      <c r="B251" s="88" t="s">
        <v>151</v>
      </c>
      <c r="C251" s="38"/>
      <c r="D251" s="64"/>
      <c r="E251" s="509">
        <v>8.2230000000000008</v>
      </c>
      <c r="F251" s="57">
        <f t="shared" si="161"/>
        <v>8.4334606946983559</v>
      </c>
      <c r="G251" s="57">
        <f t="shared" si="161"/>
        <v>8.5386910420475317</v>
      </c>
      <c r="H251" s="57">
        <f t="shared" si="161"/>
        <v>8.6439213893967093</v>
      </c>
      <c r="I251" s="57">
        <f t="shared" si="161"/>
        <v>8.7792175502742236</v>
      </c>
      <c r="J251" s="113">
        <f t="shared" ca="1" si="163"/>
        <v>8.6439213893967093</v>
      </c>
      <c r="K251" s="215">
        <f ca="1">L251-J251</f>
        <v>0</v>
      </c>
      <c r="L251" s="113">
        <f ca="1">O1336</f>
        <v>8.6439213893967093</v>
      </c>
      <c r="M251" s="57">
        <f t="shared" ref="M251:V251" ca="1" si="167">M371</f>
        <v>9.388050274223037</v>
      </c>
      <c r="N251" s="57">
        <f t="shared" ca="1" si="167"/>
        <v>9.1024250457038391</v>
      </c>
      <c r="O251" s="57">
        <f t="shared" ca="1" si="167"/>
        <v>9.1024250457038409</v>
      </c>
      <c r="P251" s="57">
        <f t="shared" ca="1" si="167"/>
        <v>9.1870342707882031</v>
      </c>
      <c r="Q251" s="57">
        <f t="shared" ca="1" si="167"/>
        <v>9.2723987748212462</v>
      </c>
      <c r="R251" s="57">
        <f t="shared" ca="1" si="167"/>
        <v>9.3585252999317401</v>
      </c>
      <c r="S251" s="57">
        <f t="shared" ca="1" si="167"/>
        <v>9.4454206484332275</v>
      </c>
      <c r="T251" s="57">
        <f t="shared" ca="1" si="167"/>
        <v>9.5330916833612989</v>
      </c>
      <c r="U251" s="57">
        <f t="shared" ca="1" si="167"/>
        <v>9.6215453290156123</v>
      </c>
      <c r="V251" s="57">
        <f t="shared" ca="1" si="167"/>
        <v>9.7107885715068001</v>
      </c>
    </row>
    <row r="252" spans="2:22" s="35" customFormat="1" ht="13.5" customHeight="1" outlineLevel="1">
      <c r="B252" s="138" t="s">
        <v>152</v>
      </c>
      <c r="C252" s="52"/>
      <c r="D252" s="165"/>
      <c r="E252" s="165">
        <f>SUM(E247:E251)</f>
        <v>286.27199999999999</v>
      </c>
      <c r="F252" s="165">
        <f t="shared" ref="F252:J252" ca="1" si="168">SUM(F247:F251)</f>
        <v>300.48408763544506</v>
      </c>
      <c r="G252" s="165">
        <f t="shared" ca="1" si="168"/>
        <v>314.57252830091545</v>
      </c>
      <c r="H252" s="165">
        <f t="shared" ca="1" si="168"/>
        <v>329.05067723217769</v>
      </c>
      <c r="I252" s="165">
        <f t="shared" ca="1" si="168"/>
        <v>344.11746505346889</v>
      </c>
      <c r="J252" s="165">
        <f t="shared" ca="1" si="168"/>
        <v>329.05067723217769</v>
      </c>
      <c r="K252" s="216">
        <f t="shared" ref="K252:V252" ca="1" si="169">SUM(K247:K251)</f>
        <v>-82.188343471646988</v>
      </c>
      <c r="L252" s="165">
        <f t="shared" ca="1" si="169"/>
        <v>246.8623337605307</v>
      </c>
      <c r="M252" s="165">
        <f t="shared" ca="1" si="169"/>
        <v>264.37219452398853</v>
      </c>
      <c r="N252" s="165">
        <f t="shared" ca="1" si="169"/>
        <v>360.02339510449815</v>
      </c>
      <c r="O252" s="165">
        <f t="shared" ca="1" si="169"/>
        <v>460.98834864957547</v>
      </c>
      <c r="P252" s="165">
        <f t="shared" ca="1" si="169"/>
        <v>562.67350889758518</v>
      </c>
      <c r="Q252" s="165">
        <f t="shared" ca="1" si="169"/>
        <v>664.48296208517365</v>
      </c>
      <c r="R252" s="165">
        <f t="shared" ca="1" si="169"/>
        <v>711.61402682181927</v>
      </c>
      <c r="S252" s="165">
        <f t="shared" ca="1" si="169"/>
        <v>811.11485480337149</v>
      </c>
      <c r="T252" s="165">
        <f t="shared" ca="1" si="169"/>
        <v>811.36545229282672</v>
      </c>
      <c r="U252" s="165">
        <f t="shared" ca="1" si="169"/>
        <v>919.73606689310532</v>
      </c>
      <c r="V252" s="165">
        <f t="shared" ca="1" si="169"/>
        <v>1029.5757499168726</v>
      </c>
    </row>
    <row r="253" spans="2:22" s="35" customFormat="1" ht="13.5" customHeight="1" outlineLevel="1">
      <c r="B253" s="88" t="s">
        <v>76</v>
      </c>
      <c r="C253" s="38"/>
      <c r="D253" s="217"/>
      <c r="E253" s="113">
        <f>E255-E254</f>
        <v>175.41400000000002</v>
      </c>
      <c r="F253" s="83">
        <f>E253+F205</f>
        <v>180.5407572633552</v>
      </c>
      <c r="G253" s="83">
        <f>F253+G205</f>
        <v>185.72819868791004</v>
      </c>
      <c r="H253" s="83">
        <f>G253+H205</f>
        <v>190.98593064667293</v>
      </c>
      <c r="I253" s="83">
        <f>H253+I205</f>
        <v>196.32801124648549</v>
      </c>
      <c r="J253" s="113">
        <f t="shared" ca="1" si="163"/>
        <v>190.98593064667293</v>
      </c>
      <c r="K253" s="218">
        <f ca="1">L253-J253</f>
        <v>15</v>
      </c>
      <c r="L253" s="113">
        <f ca="1">O1338</f>
        <v>205.98593064667293</v>
      </c>
      <c r="M253" s="57">
        <f t="shared" ref="M253:V253" ca="1" si="170">L253-M334</f>
        <v>218.73593064667293</v>
      </c>
      <c r="N253" s="57">
        <f t="shared" ca="1" si="170"/>
        <v>236.73593064667293</v>
      </c>
      <c r="O253" s="57">
        <f t="shared" ca="1" si="170"/>
        <v>255.73593064667293</v>
      </c>
      <c r="P253" s="57">
        <f t="shared" ca="1" si="170"/>
        <v>274.90553744794818</v>
      </c>
      <c r="Q253" s="57">
        <f t="shared" ca="1" si="170"/>
        <v>294.24626507507963</v>
      </c>
      <c r="R253" s="57">
        <f t="shared" ca="1" si="170"/>
        <v>313.75964106785182</v>
      </c>
      <c r="S253" s="57">
        <f t="shared" ca="1" si="170"/>
        <v>333.44720660189847</v>
      </c>
      <c r="T253" s="57">
        <f t="shared" ca="1" si="170"/>
        <v>353.31051661042545</v>
      </c>
      <c r="U253" s="57">
        <f t="shared" ca="1" si="170"/>
        <v>373.35113990702007</v>
      </c>
      <c r="V253" s="57">
        <f t="shared" ca="1" si="170"/>
        <v>393.57065930955662</v>
      </c>
    </row>
    <row r="254" spans="2:22" s="35" customFormat="1" ht="13.5" customHeight="1" outlineLevel="1">
      <c r="B254" s="88" t="s">
        <v>153</v>
      </c>
      <c r="C254" s="38"/>
      <c r="D254" s="64"/>
      <c r="E254" s="509">
        <f>-72.879-69.565</f>
        <v>-142.44400000000002</v>
      </c>
      <c r="F254" s="57">
        <f>E254-F155</f>
        <v>-145.74400000000003</v>
      </c>
      <c r="G254" s="57">
        <f>F254-G155</f>
        <v>-149.04400000000004</v>
      </c>
      <c r="H254" s="57">
        <f>G254-H155</f>
        <v>-152.34400000000005</v>
      </c>
      <c r="I254" s="57">
        <f>H254-I155</f>
        <v>-155.64400000000006</v>
      </c>
      <c r="J254" s="113">
        <f t="shared" ca="1" si="163"/>
        <v>-152.34400000000005</v>
      </c>
      <c r="K254" s="218">
        <f ca="1">L254-J254</f>
        <v>0</v>
      </c>
      <c r="L254" s="113">
        <f ca="1">O1339</f>
        <v>-152.34400000000005</v>
      </c>
      <c r="M254" s="57">
        <f t="shared" ref="M254:V254" ca="1" si="171">L254-M309</f>
        <v>-164.5261428571429</v>
      </c>
      <c r="N254" s="57">
        <f t="shared" ca="1" si="171"/>
        <v>-180.76900000000003</v>
      </c>
      <c r="O254" s="57">
        <f t="shared" ca="1" si="171"/>
        <v>-197.01185714285717</v>
      </c>
      <c r="P254" s="57">
        <f t="shared" ca="1" si="171"/>
        <v>-213.38058038560803</v>
      </c>
      <c r="Q254" s="57">
        <f t="shared" ca="1" si="171"/>
        <v>-229.87629329386272</v>
      </c>
      <c r="R254" s="57">
        <f t="shared" ca="1" si="171"/>
        <v>-246.50012946293498</v>
      </c>
      <c r="S254" s="57">
        <f t="shared" ca="1" si="171"/>
        <v>-263.25323260737412</v>
      </c>
      <c r="T254" s="57">
        <f t="shared" ca="1" si="171"/>
        <v>-278.52961379415314</v>
      </c>
      <c r="U254" s="57">
        <f t="shared" ca="1" si="171"/>
        <v>-293.40186581952071</v>
      </c>
      <c r="V254" s="57">
        <f t="shared" ca="1" si="171"/>
        <v>-308.40687758666627</v>
      </c>
    </row>
    <row r="255" spans="2:22" s="35" customFormat="1" ht="13.5" customHeight="1" outlineLevel="1">
      <c r="B255" s="138" t="s">
        <v>77</v>
      </c>
      <c r="C255" s="52"/>
      <c r="D255" s="219"/>
      <c r="E255" s="524">
        <v>32.97</v>
      </c>
      <c r="F255" s="87">
        <f t="shared" ref="F255:J255" si="172">SUM(F253:F254)</f>
        <v>34.796757263355175</v>
      </c>
      <c r="G255" s="87">
        <f t="shared" si="172"/>
        <v>36.684198687909998</v>
      </c>
      <c r="H255" s="87">
        <f t="shared" si="172"/>
        <v>38.641930646672876</v>
      </c>
      <c r="I255" s="87">
        <f t="shared" si="172"/>
        <v>40.684011246485426</v>
      </c>
      <c r="J255" s="87">
        <f t="shared" ca="1" si="172"/>
        <v>38.641930646672876</v>
      </c>
      <c r="K255" s="220">
        <f t="shared" ref="K255:V255" ca="1" si="173">SUM(K253:K254)</f>
        <v>15</v>
      </c>
      <c r="L255" s="87">
        <f t="shared" ca="1" si="173"/>
        <v>53.641930646672876</v>
      </c>
      <c r="M255" s="87">
        <f t="shared" ca="1" si="173"/>
        <v>54.209787789530026</v>
      </c>
      <c r="N255" s="87">
        <f t="shared" ca="1" si="173"/>
        <v>55.966930646672893</v>
      </c>
      <c r="O255" s="87">
        <f t="shared" ca="1" si="173"/>
        <v>58.72407350381576</v>
      </c>
      <c r="P255" s="87">
        <f t="shared" ca="1" si="173"/>
        <v>61.52495706234015</v>
      </c>
      <c r="Q255" s="87">
        <f t="shared" ca="1" si="173"/>
        <v>64.369971781216918</v>
      </c>
      <c r="R255" s="87">
        <f t="shared" ca="1" si="173"/>
        <v>67.259511604916838</v>
      </c>
      <c r="S255" s="87">
        <f t="shared" ca="1" si="173"/>
        <v>70.193973994524356</v>
      </c>
      <c r="T255" s="87">
        <f t="shared" ca="1" si="173"/>
        <v>74.780902816272317</v>
      </c>
      <c r="U255" s="87">
        <f t="shared" ca="1" si="173"/>
        <v>79.949274087499361</v>
      </c>
      <c r="V255" s="87">
        <f t="shared" ca="1" si="173"/>
        <v>85.163781722890349</v>
      </c>
    </row>
    <row r="256" spans="2:22" s="35" customFormat="1" ht="13.5" customHeight="1" outlineLevel="1">
      <c r="B256" s="38" t="s">
        <v>198</v>
      </c>
      <c r="C256" s="38"/>
      <c r="D256" s="64"/>
      <c r="E256" s="509">
        <v>0</v>
      </c>
      <c r="F256" s="57">
        <f>E256+F412</f>
        <v>0</v>
      </c>
      <c r="G256" s="57">
        <f>F256+G412</f>
        <v>0</v>
      </c>
      <c r="H256" s="57">
        <f>G256+H412</f>
        <v>0</v>
      </c>
      <c r="I256" s="57">
        <f>H256+I412</f>
        <v>0</v>
      </c>
      <c r="J256" s="113">
        <f t="shared" ref="J256:J261" ca="1" si="174">OFFSET(D256,0,MATCH(J$243,E$243:I$243))</f>
        <v>0</v>
      </c>
      <c r="K256" s="218">
        <f t="shared" ref="K256:K261" ca="1" si="175">L256-J256</f>
        <v>0</v>
      </c>
      <c r="L256" s="113">
        <f t="shared" ref="L256:L261" ca="1" si="176">O1341</f>
        <v>0</v>
      </c>
      <c r="M256" s="57">
        <f t="shared" ref="M256:V256" ca="1" si="177">L256+M412</f>
        <v>0</v>
      </c>
      <c r="N256" s="57">
        <f t="shared" ca="1" si="177"/>
        <v>0</v>
      </c>
      <c r="O256" s="57">
        <f t="shared" ca="1" si="177"/>
        <v>0</v>
      </c>
      <c r="P256" s="57">
        <f t="shared" ca="1" si="177"/>
        <v>0</v>
      </c>
      <c r="Q256" s="57">
        <f t="shared" ca="1" si="177"/>
        <v>0</v>
      </c>
      <c r="R256" s="57">
        <f t="shared" ca="1" si="177"/>
        <v>0</v>
      </c>
      <c r="S256" s="57">
        <f t="shared" ca="1" si="177"/>
        <v>0</v>
      </c>
      <c r="T256" s="57">
        <f t="shared" ca="1" si="177"/>
        <v>0</v>
      </c>
      <c r="U256" s="57">
        <f t="shared" ca="1" si="177"/>
        <v>0</v>
      </c>
      <c r="V256" s="57">
        <f t="shared" ca="1" si="177"/>
        <v>0</v>
      </c>
    </row>
    <row r="257" spans="2:22" s="35" customFormat="1" ht="13.5" customHeight="1" outlineLevel="1">
      <c r="B257" s="38" t="s">
        <v>199</v>
      </c>
      <c r="C257" s="38"/>
      <c r="D257" s="64"/>
      <c r="E257" s="509">
        <v>0</v>
      </c>
      <c r="F257" s="57">
        <f>E257</f>
        <v>0</v>
      </c>
      <c r="G257" s="57">
        <f t="shared" ref="G257:I257" si="178">F257</f>
        <v>0</v>
      </c>
      <c r="H257" s="57">
        <f t="shared" si="178"/>
        <v>0</v>
      </c>
      <c r="I257" s="57">
        <f t="shared" si="178"/>
        <v>0</v>
      </c>
      <c r="J257" s="113">
        <f t="shared" ca="1" si="174"/>
        <v>0</v>
      </c>
      <c r="K257" s="218">
        <f t="shared" ca="1" si="175"/>
        <v>6.5</v>
      </c>
      <c r="L257" s="113">
        <f t="shared" ca="1" si="176"/>
        <v>6.5</v>
      </c>
      <c r="M257" s="57">
        <f t="shared" ref="M257:V257" ca="1" si="179">L257-M311</f>
        <v>5.6857142857142859</v>
      </c>
      <c r="N257" s="57">
        <f t="shared" ca="1" si="179"/>
        <v>4.6000000000000005</v>
      </c>
      <c r="O257" s="57">
        <f t="shared" ca="1" si="179"/>
        <v>3.5142857142857151</v>
      </c>
      <c r="P257" s="57">
        <f t="shared" ca="1" si="179"/>
        <v>2.4285714285714297</v>
      </c>
      <c r="Q257" s="57">
        <f t="shared" ca="1" si="179"/>
        <v>1.3428571428571441</v>
      </c>
      <c r="R257" s="57">
        <f t="shared" ca="1" si="179"/>
        <v>0.66964285714285843</v>
      </c>
      <c r="S257" s="57">
        <f t="shared" ca="1" si="179"/>
        <v>0.13392857142857273</v>
      </c>
      <c r="T257" s="57">
        <f t="shared" ca="1" si="179"/>
        <v>1.1102230246251565E-15</v>
      </c>
      <c r="U257" s="57">
        <f t="shared" ca="1" si="179"/>
        <v>1.1102230246251565E-15</v>
      </c>
      <c r="V257" s="57">
        <f t="shared" ca="1" si="179"/>
        <v>1.1102230246251565E-15</v>
      </c>
    </row>
    <row r="258" spans="2:22" s="35" customFormat="1" ht="13.5" customHeight="1" outlineLevel="1">
      <c r="B258" s="38" t="s">
        <v>78</v>
      </c>
      <c r="C258" s="38"/>
      <c r="D258" s="64"/>
      <c r="E258" s="509">
        <v>61.094000000000001</v>
      </c>
      <c r="F258" s="57">
        <f>E258</f>
        <v>61.094000000000001</v>
      </c>
      <c r="G258" s="57">
        <f t="shared" ref="G258:I258" si="180">F258</f>
        <v>61.094000000000001</v>
      </c>
      <c r="H258" s="57">
        <f t="shared" si="180"/>
        <v>61.094000000000001</v>
      </c>
      <c r="I258" s="57">
        <f t="shared" si="180"/>
        <v>61.094000000000001</v>
      </c>
      <c r="J258" s="113">
        <f t="shared" ca="1" si="174"/>
        <v>61.094000000000001</v>
      </c>
      <c r="K258" s="218">
        <f t="shared" ca="1" si="175"/>
        <v>356.92542547835933</v>
      </c>
      <c r="L258" s="113">
        <f t="shared" ca="1" si="176"/>
        <v>418.01942547835932</v>
      </c>
      <c r="M258" s="57">
        <f t="shared" ref="M258:V258" ca="1" si="181">L258</f>
        <v>418.01942547835932</v>
      </c>
      <c r="N258" s="57">
        <f t="shared" ca="1" si="181"/>
        <v>418.01942547835932</v>
      </c>
      <c r="O258" s="57">
        <f t="shared" ca="1" si="181"/>
        <v>418.01942547835932</v>
      </c>
      <c r="P258" s="57">
        <f t="shared" ca="1" si="181"/>
        <v>418.01942547835932</v>
      </c>
      <c r="Q258" s="57">
        <f t="shared" ca="1" si="181"/>
        <v>418.01942547835932</v>
      </c>
      <c r="R258" s="57">
        <f t="shared" ca="1" si="181"/>
        <v>418.01942547835932</v>
      </c>
      <c r="S258" s="57">
        <f t="shared" ca="1" si="181"/>
        <v>418.01942547835932</v>
      </c>
      <c r="T258" s="57">
        <f t="shared" ca="1" si="181"/>
        <v>418.01942547835932</v>
      </c>
      <c r="U258" s="57">
        <f t="shared" ca="1" si="181"/>
        <v>418.01942547835932</v>
      </c>
      <c r="V258" s="57">
        <f t="shared" ca="1" si="181"/>
        <v>418.01942547835932</v>
      </c>
    </row>
    <row r="259" spans="2:22" s="35" customFormat="1" ht="13.5" customHeight="1" outlineLevel="1">
      <c r="B259" s="38" t="s">
        <v>200</v>
      </c>
      <c r="C259" s="38"/>
      <c r="D259" s="64"/>
      <c r="E259" s="509">
        <v>37.491</v>
      </c>
      <c r="F259" s="57">
        <f>E259-F157</f>
        <v>32.991</v>
      </c>
      <c r="G259" s="57">
        <f>F259-G157</f>
        <v>28.491</v>
      </c>
      <c r="H259" s="57">
        <f>G259-H157</f>
        <v>23.991</v>
      </c>
      <c r="I259" s="57">
        <f>H259-I157</f>
        <v>19.491</v>
      </c>
      <c r="J259" s="113">
        <f t="shared" ca="1" si="174"/>
        <v>23.991</v>
      </c>
      <c r="K259" s="218">
        <f t="shared" ca="1" si="175"/>
        <v>109.4553508890625</v>
      </c>
      <c r="L259" s="113">
        <f t="shared" ca="1" si="176"/>
        <v>133.4463508890625</v>
      </c>
      <c r="M259" s="57">
        <f t="shared" ref="M259:V259" ca="1" si="182">L259-M310</f>
        <v>102.10304825570313</v>
      </c>
      <c r="N259" s="57">
        <f t="shared" ca="1" si="182"/>
        <v>60.211978077890635</v>
      </c>
      <c r="O259" s="57">
        <f t="shared" ca="1" si="182"/>
        <v>18.32090790007814</v>
      </c>
      <c r="P259" s="57">
        <f t="shared" ca="1" si="182"/>
        <v>-23.748695752760923</v>
      </c>
      <c r="Q259" s="57">
        <f t="shared" ca="1" si="182"/>
        <v>-65.998426590711802</v>
      </c>
      <c r="R259" s="57">
        <f t="shared" ca="1" si="182"/>
        <v>-92.011589917030363</v>
      </c>
      <c r="S259" s="57">
        <f t="shared" ca="1" si="182"/>
        <v>-112.73534311076367</v>
      </c>
      <c r="T259" s="57">
        <f t="shared" ca="1" si="182"/>
        <v>-133.64409048816049</v>
      </c>
      <c r="U259" s="57">
        <f t="shared" ca="1" si="182"/>
        <v>-154.73948343194428</v>
      </c>
      <c r="V259" s="57">
        <f t="shared" ca="1" si="182"/>
        <v>-176.02318806619328</v>
      </c>
    </row>
    <row r="260" spans="2:22" s="35" customFormat="1" ht="13.5" customHeight="1" outlineLevel="1">
      <c r="B260" s="38" t="s">
        <v>201</v>
      </c>
      <c r="C260" s="38"/>
      <c r="D260" s="64"/>
      <c r="E260" s="509">
        <v>0</v>
      </c>
      <c r="F260" s="57">
        <f>E260</f>
        <v>0</v>
      </c>
      <c r="G260" s="57">
        <f t="shared" ref="G260:I260" si="183">F260</f>
        <v>0</v>
      </c>
      <c r="H260" s="57">
        <f t="shared" si="183"/>
        <v>0</v>
      </c>
      <c r="I260" s="57">
        <f t="shared" si="183"/>
        <v>0</v>
      </c>
      <c r="J260" s="113">
        <f t="shared" ca="1" si="174"/>
        <v>0</v>
      </c>
      <c r="K260" s="218">
        <f t="shared" ca="1" si="175"/>
        <v>0</v>
      </c>
      <c r="L260" s="113">
        <f t="shared" ca="1" si="176"/>
        <v>0</v>
      </c>
      <c r="M260" s="57">
        <f t="shared" ref="M260:V260" ca="1" si="184">L260</f>
        <v>0</v>
      </c>
      <c r="N260" s="57">
        <f t="shared" ca="1" si="184"/>
        <v>0</v>
      </c>
      <c r="O260" s="57">
        <f t="shared" ca="1" si="184"/>
        <v>0</v>
      </c>
      <c r="P260" s="57">
        <f t="shared" ca="1" si="184"/>
        <v>0</v>
      </c>
      <c r="Q260" s="57">
        <f t="shared" ca="1" si="184"/>
        <v>0</v>
      </c>
      <c r="R260" s="57">
        <f t="shared" ca="1" si="184"/>
        <v>0</v>
      </c>
      <c r="S260" s="57">
        <f t="shared" ca="1" si="184"/>
        <v>0</v>
      </c>
      <c r="T260" s="57">
        <f t="shared" ca="1" si="184"/>
        <v>0</v>
      </c>
      <c r="U260" s="57">
        <f t="shared" ca="1" si="184"/>
        <v>0</v>
      </c>
      <c r="V260" s="57">
        <f t="shared" ca="1" si="184"/>
        <v>0</v>
      </c>
    </row>
    <row r="261" spans="2:22" s="35" customFormat="1" ht="13.5" customHeight="1" outlineLevel="1">
      <c r="B261" s="38" t="s">
        <v>202</v>
      </c>
      <c r="C261" s="38"/>
      <c r="D261" s="64"/>
      <c r="E261" s="509">
        <v>14.29</v>
      </c>
      <c r="F261" s="57">
        <f>E261</f>
        <v>14.29</v>
      </c>
      <c r="G261" s="57">
        <f t="shared" ref="G261:I261" si="185">F261</f>
        <v>14.29</v>
      </c>
      <c r="H261" s="57">
        <f t="shared" si="185"/>
        <v>14.29</v>
      </c>
      <c r="I261" s="57">
        <f t="shared" si="185"/>
        <v>14.29</v>
      </c>
      <c r="J261" s="113">
        <f t="shared" ca="1" si="174"/>
        <v>14.29</v>
      </c>
      <c r="K261" s="218">
        <f t="shared" ca="1" si="175"/>
        <v>0</v>
      </c>
      <c r="L261" s="113">
        <f t="shared" ca="1" si="176"/>
        <v>14.29</v>
      </c>
      <c r="M261" s="57">
        <f t="shared" ref="M261:V261" ca="1" si="186">L261</f>
        <v>14.29</v>
      </c>
      <c r="N261" s="57">
        <f t="shared" ca="1" si="186"/>
        <v>14.29</v>
      </c>
      <c r="O261" s="57">
        <f t="shared" ca="1" si="186"/>
        <v>14.29</v>
      </c>
      <c r="P261" s="57">
        <f t="shared" ca="1" si="186"/>
        <v>14.29</v>
      </c>
      <c r="Q261" s="57">
        <f t="shared" ca="1" si="186"/>
        <v>14.29</v>
      </c>
      <c r="R261" s="57">
        <f t="shared" ca="1" si="186"/>
        <v>14.29</v>
      </c>
      <c r="S261" s="57">
        <f t="shared" ca="1" si="186"/>
        <v>14.29</v>
      </c>
      <c r="T261" s="57">
        <f t="shared" ca="1" si="186"/>
        <v>14.29</v>
      </c>
      <c r="U261" s="57">
        <f t="shared" ca="1" si="186"/>
        <v>14.29</v>
      </c>
      <c r="V261" s="57">
        <f t="shared" ca="1" si="186"/>
        <v>14.29</v>
      </c>
    </row>
    <row r="262" spans="2:22" s="35" customFormat="1" ht="13.5" customHeight="1" outlineLevel="1">
      <c r="B262" s="221" t="s">
        <v>203</v>
      </c>
      <c r="C262" s="141"/>
      <c r="D262" s="222"/>
      <c r="E262" s="222">
        <f t="shared" ref="E262:V262" si="187">SUM(E255:E261)+E252</f>
        <v>432.11699999999996</v>
      </c>
      <c r="F262" s="222">
        <f t="shared" ca="1" si="187"/>
        <v>443.65584489880018</v>
      </c>
      <c r="G262" s="222">
        <f t="shared" ca="1" si="187"/>
        <v>455.13172698882545</v>
      </c>
      <c r="H262" s="222">
        <f t="shared" ca="1" si="187"/>
        <v>467.06760787885059</v>
      </c>
      <c r="I262" s="222">
        <f t="shared" ca="1" si="187"/>
        <v>479.67647629995429</v>
      </c>
      <c r="J262" s="222">
        <f t="shared" ca="1" si="187"/>
        <v>467.06760787885059</v>
      </c>
      <c r="K262" s="105">
        <f t="shared" ca="1" si="187"/>
        <v>405.69243289577486</v>
      </c>
      <c r="L262" s="222">
        <f t="shared" ca="1" si="187"/>
        <v>872.76004077462539</v>
      </c>
      <c r="M262" s="222">
        <f t="shared" ca="1" si="187"/>
        <v>858.68017033329534</v>
      </c>
      <c r="N262" s="222">
        <f t="shared" ca="1" si="187"/>
        <v>913.111729307421</v>
      </c>
      <c r="O262" s="222">
        <f t="shared" ca="1" si="187"/>
        <v>973.85704124611448</v>
      </c>
      <c r="P262" s="222">
        <f t="shared" ca="1" si="187"/>
        <v>1035.1877671140951</v>
      </c>
      <c r="Q262" s="222">
        <f t="shared" ca="1" si="187"/>
        <v>1096.5067898968953</v>
      </c>
      <c r="R262" s="222">
        <f t="shared" ca="1" si="187"/>
        <v>1119.8410168452078</v>
      </c>
      <c r="S262" s="222">
        <f t="shared" ca="1" si="187"/>
        <v>1201.01683973692</v>
      </c>
      <c r="T262" s="222">
        <f t="shared" ca="1" si="187"/>
        <v>1184.8116900992979</v>
      </c>
      <c r="U262" s="222">
        <f t="shared" ca="1" si="187"/>
        <v>1277.2552830270197</v>
      </c>
      <c r="V262" s="222">
        <f t="shared" ca="1" si="187"/>
        <v>1371.025769051929</v>
      </c>
    </row>
    <row r="263" spans="2:22" s="35" customFormat="1" ht="13.5" customHeight="1" outlineLevel="1">
      <c r="K263" s="212"/>
    </row>
    <row r="264" spans="2:22" s="35" customFormat="1" ht="13.5" customHeight="1" outlineLevel="1">
      <c r="B264" s="46" t="s">
        <v>79</v>
      </c>
      <c r="C264" s="47"/>
      <c r="D264" s="47"/>
      <c r="E264" s="47"/>
      <c r="F264" s="47"/>
      <c r="G264" s="47"/>
      <c r="H264" s="47"/>
      <c r="I264" s="47"/>
      <c r="J264" s="47"/>
      <c r="K264" s="47"/>
      <c r="L264" s="47"/>
      <c r="M264" s="47"/>
      <c r="N264" s="47"/>
      <c r="O264" s="47"/>
      <c r="P264" s="47"/>
      <c r="Q264" s="47"/>
      <c r="R264" s="47"/>
      <c r="S264" s="47"/>
      <c r="T264" s="47"/>
      <c r="U264" s="47"/>
      <c r="V264" s="48"/>
    </row>
    <row r="265" spans="2:22" s="35" customFormat="1" ht="5.0999999999999996" customHeight="1" outlineLevel="1">
      <c r="B265" s="38"/>
      <c r="C265" s="38"/>
      <c r="D265" s="38"/>
      <c r="E265" s="38"/>
      <c r="F265" s="38"/>
      <c r="G265" s="38"/>
      <c r="H265" s="38"/>
      <c r="J265" s="38"/>
      <c r="K265" s="223"/>
      <c r="L265" s="38"/>
      <c r="M265" s="38"/>
      <c r="N265" s="38"/>
      <c r="O265" s="38"/>
      <c r="P265" s="38"/>
      <c r="Q265" s="38"/>
      <c r="R265" s="38"/>
      <c r="S265" s="38"/>
      <c r="T265" s="38"/>
      <c r="U265" s="38"/>
      <c r="V265" s="38"/>
    </row>
    <row r="266" spans="2:22" s="35" customFormat="1" ht="13.5" customHeight="1" outlineLevel="1">
      <c r="B266" s="88" t="s">
        <v>154</v>
      </c>
      <c r="C266" s="38"/>
      <c r="D266" s="59"/>
      <c r="E266" s="508">
        <v>0</v>
      </c>
      <c r="F266" s="508">
        <v>0</v>
      </c>
      <c r="G266" s="508">
        <v>0</v>
      </c>
      <c r="H266" s="508">
        <v>0</v>
      </c>
      <c r="I266" s="508">
        <v>0</v>
      </c>
      <c r="J266" s="213">
        <f ca="1">OFFSET(D266,0,MATCH(J$243,E$243:I$243))</f>
        <v>0</v>
      </c>
      <c r="K266" s="214">
        <f ca="1">L266-J266</f>
        <v>0</v>
      </c>
      <c r="L266" s="213">
        <f ca="1">O1351</f>
        <v>0</v>
      </c>
      <c r="M266" s="54">
        <f t="shared" ref="M266:V266" ca="1" si="188">L266</f>
        <v>0</v>
      </c>
      <c r="N266" s="54">
        <f t="shared" ca="1" si="188"/>
        <v>0</v>
      </c>
      <c r="O266" s="54">
        <f t="shared" ca="1" si="188"/>
        <v>0</v>
      </c>
      <c r="P266" s="54">
        <f t="shared" ca="1" si="188"/>
        <v>0</v>
      </c>
      <c r="Q266" s="54">
        <f t="shared" ca="1" si="188"/>
        <v>0</v>
      </c>
      <c r="R266" s="54">
        <f t="shared" ca="1" si="188"/>
        <v>0</v>
      </c>
      <c r="S266" s="54">
        <f t="shared" ca="1" si="188"/>
        <v>0</v>
      </c>
      <c r="T266" s="54">
        <f t="shared" ca="1" si="188"/>
        <v>0</v>
      </c>
      <c r="U266" s="54">
        <f t="shared" ca="1" si="188"/>
        <v>0</v>
      </c>
      <c r="V266" s="54">
        <f t="shared" ca="1" si="188"/>
        <v>0</v>
      </c>
    </row>
    <row r="267" spans="2:22" s="35" customFormat="1" ht="13.5" customHeight="1" outlineLevel="1">
      <c r="B267" s="88" t="s">
        <v>155</v>
      </c>
      <c r="C267" s="38"/>
      <c r="D267" s="64"/>
      <c r="E267" s="509">
        <v>20.661999999999999</v>
      </c>
      <c r="F267" s="57">
        <f t="shared" ref="F267:I270" si="189">F373</f>
        <v>21.190826325411333</v>
      </c>
      <c r="G267" s="57">
        <f t="shared" si="189"/>
        <v>21.455239488116998</v>
      </c>
      <c r="H267" s="57">
        <f t="shared" si="189"/>
        <v>21.719652650822667</v>
      </c>
      <c r="I267" s="57">
        <f t="shared" si="189"/>
        <v>22.059612431444236</v>
      </c>
      <c r="J267" s="113">
        <f ca="1">OFFSET(D267,0,MATCH(J$243,E$243:I$243))</f>
        <v>21.719652650822667</v>
      </c>
      <c r="K267" s="224">
        <f ca="1">L267-J267</f>
        <v>0</v>
      </c>
      <c r="L267" s="113">
        <f ca="1">O1352</f>
        <v>21.719652650822667</v>
      </c>
      <c r="M267" s="57">
        <f t="shared" ref="M267:V267" ca="1" si="190">M373</f>
        <v>23.589431444241313</v>
      </c>
      <c r="N267" s="57">
        <f t="shared" ca="1" si="190"/>
        <v>22.871738574040211</v>
      </c>
      <c r="O267" s="57">
        <f t="shared" ca="1" si="190"/>
        <v>22.871738574040219</v>
      </c>
      <c r="P267" s="57">
        <f t="shared" ca="1" si="190"/>
        <v>23.084336872555731</v>
      </c>
      <c r="Q267" s="57">
        <f t="shared" ca="1" si="190"/>
        <v>23.298832966722188</v>
      </c>
      <c r="R267" s="57">
        <f t="shared" ca="1" si="190"/>
        <v>23.515243797542205</v>
      </c>
      <c r="S267" s="57">
        <f t="shared" ca="1" si="190"/>
        <v>23.733586457245202</v>
      </c>
      <c r="T267" s="57">
        <f t="shared" ca="1" si="190"/>
        <v>23.953878190637372</v>
      </c>
      <c r="U267" s="57">
        <f t="shared" ca="1" si="190"/>
        <v>24.176136396463644</v>
      </c>
      <c r="V267" s="57">
        <f t="shared" ca="1" si="190"/>
        <v>24.400378628781887</v>
      </c>
    </row>
    <row r="268" spans="2:22" s="35" customFormat="1" ht="13.5" customHeight="1" outlineLevel="1">
      <c r="B268" s="88" t="s">
        <v>156</v>
      </c>
      <c r="C268" s="38"/>
      <c r="D268" s="64"/>
      <c r="E268" s="509">
        <v>15.38</v>
      </c>
      <c r="F268" s="57">
        <f t="shared" si="189"/>
        <v>15.773638025594151</v>
      </c>
      <c r="G268" s="57">
        <f t="shared" si="189"/>
        <v>15.970457038391224</v>
      </c>
      <c r="H268" s="57">
        <f t="shared" si="189"/>
        <v>16.167276051188299</v>
      </c>
      <c r="I268" s="57">
        <f t="shared" si="189"/>
        <v>16.420329067641681</v>
      </c>
      <c r="J268" s="113">
        <f t="shared" ref="J268:J280" ca="1" si="191">OFFSET(D268,0,MATCH(J$243,E$243:I$243))</f>
        <v>16.167276051188299</v>
      </c>
      <c r="K268" s="224">
        <f ca="1">L268-J268</f>
        <v>0</v>
      </c>
      <c r="L268" s="113">
        <f ca="1">O1353</f>
        <v>16.167276051188299</v>
      </c>
      <c r="M268" s="57">
        <f t="shared" ref="M268:V268" ca="1" si="192">M374</f>
        <v>17.559067641681903</v>
      </c>
      <c r="N268" s="57">
        <f t="shared" ca="1" si="192"/>
        <v>17.024844606946981</v>
      </c>
      <c r="O268" s="57">
        <f t="shared" ca="1" si="192"/>
        <v>17.024844606946985</v>
      </c>
      <c r="P268" s="57">
        <f t="shared" ca="1" si="192"/>
        <v>17.183094622974892</v>
      </c>
      <c r="Q268" s="57">
        <f t="shared" ca="1" si="192"/>
        <v>17.342757285267027</v>
      </c>
      <c r="R268" s="57">
        <f t="shared" ca="1" si="192"/>
        <v>17.503845204055715</v>
      </c>
      <c r="S268" s="57">
        <f t="shared" ca="1" si="192"/>
        <v>17.666371102140705</v>
      </c>
      <c r="T268" s="57">
        <f t="shared" ca="1" si="192"/>
        <v>17.830347815894047</v>
      </c>
      <c r="U268" s="57">
        <f t="shared" ca="1" si="192"/>
        <v>17.995788296273879</v>
      </c>
      <c r="V268" s="57">
        <f t="shared" ca="1" si="192"/>
        <v>18.162705609847325</v>
      </c>
    </row>
    <row r="269" spans="2:22" s="35" customFormat="1" ht="13.5" customHeight="1" outlineLevel="1">
      <c r="B269" s="88" t="s">
        <v>157</v>
      </c>
      <c r="C269" s="38"/>
      <c r="D269" s="64"/>
      <c r="E269" s="509">
        <v>0</v>
      </c>
      <c r="F269" s="57">
        <f t="shared" si="189"/>
        <v>0</v>
      </c>
      <c r="G269" s="57">
        <f t="shared" si="189"/>
        <v>0</v>
      </c>
      <c r="H269" s="57">
        <f t="shared" si="189"/>
        <v>0</v>
      </c>
      <c r="I269" s="57">
        <f t="shared" si="189"/>
        <v>0</v>
      </c>
      <c r="J269" s="113">
        <f t="shared" ca="1" si="191"/>
        <v>0</v>
      </c>
      <c r="K269" s="224">
        <f ca="1">L269-J269</f>
        <v>0</v>
      </c>
      <c r="L269" s="113">
        <f ca="1">O1354</f>
        <v>0</v>
      </c>
      <c r="M269" s="57">
        <f t="shared" ref="M269:V269" ca="1" si="193">M375</f>
        <v>0</v>
      </c>
      <c r="N269" s="57">
        <f t="shared" ca="1" si="193"/>
        <v>0</v>
      </c>
      <c r="O269" s="57">
        <f t="shared" ca="1" si="193"/>
        <v>0</v>
      </c>
      <c r="P269" s="57">
        <f t="shared" ca="1" si="193"/>
        <v>0</v>
      </c>
      <c r="Q269" s="57">
        <f t="shared" ca="1" si="193"/>
        <v>0</v>
      </c>
      <c r="R269" s="57">
        <f t="shared" ca="1" si="193"/>
        <v>0</v>
      </c>
      <c r="S269" s="57">
        <f t="shared" ca="1" si="193"/>
        <v>0</v>
      </c>
      <c r="T269" s="57">
        <f t="shared" ca="1" si="193"/>
        <v>0</v>
      </c>
      <c r="U269" s="57">
        <f t="shared" ca="1" si="193"/>
        <v>0</v>
      </c>
      <c r="V269" s="57">
        <f t="shared" ca="1" si="193"/>
        <v>0</v>
      </c>
    </row>
    <row r="270" spans="2:22" s="35" customFormat="1" ht="13.5" customHeight="1" outlineLevel="1">
      <c r="B270" s="88" t="s">
        <v>158</v>
      </c>
      <c r="C270" s="38"/>
      <c r="D270" s="64"/>
      <c r="E270" s="509">
        <v>59.132999999999996</v>
      </c>
      <c r="F270" s="57">
        <f t="shared" si="189"/>
        <v>60.646458866544791</v>
      </c>
      <c r="G270" s="57">
        <f t="shared" si="189"/>
        <v>61.403188299817181</v>
      </c>
      <c r="H270" s="57">
        <f t="shared" si="189"/>
        <v>62.159917733089578</v>
      </c>
      <c r="I270" s="57">
        <f t="shared" si="189"/>
        <v>63.132855575868369</v>
      </c>
      <c r="J270" s="113">
        <f t="shared" ca="1" si="191"/>
        <v>62.159917733089578</v>
      </c>
      <c r="K270" s="224">
        <f ca="1">L270-J270</f>
        <v>0</v>
      </c>
      <c r="L270" s="113">
        <f ca="1">O1355</f>
        <v>62.159917733089578</v>
      </c>
      <c r="M270" s="57">
        <f t="shared" ref="M270:V270" ca="1" si="194">M376</f>
        <v>67.511075868372941</v>
      </c>
      <c r="N270" s="57">
        <f t="shared" ca="1" si="194"/>
        <v>65.457095978062142</v>
      </c>
      <c r="O270" s="57">
        <f t="shared" ca="1" si="194"/>
        <v>65.457095978062156</v>
      </c>
      <c r="P270" s="57">
        <f t="shared" ca="1" si="194"/>
        <v>66.065535392742149</v>
      </c>
      <c r="Q270" s="57">
        <f t="shared" ca="1" si="194"/>
        <v>66.679406147574454</v>
      </c>
      <c r="R270" s="57">
        <f t="shared" ca="1" si="194"/>
        <v>67.298756726360637</v>
      </c>
      <c r="S270" s="57">
        <f t="shared" ca="1" si="194"/>
        <v>67.923636045701315</v>
      </c>
      <c r="T270" s="57">
        <f t="shared" ca="1" si="194"/>
        <v>68.554093458859739</v>
      </c>
      <c r="U270" s="57">
        <f t="shared" ca="1" si="194"/>
        <v>69.190178759659517</v>
      </c>
      <c r="V270" s="57">
        <f t="shared" ca="1" si="194"/>
        <v>69.83194218641755</v>
      </c>
    </row>
    <row r="271" spans="2:22" s="35" customFormat="1" ht="13.5" customHeight="1" outlineLevel="1">
      <c r="B271" s="138" t="s">
        <v>159</v>
      </c>
      <c r="C271" s="52"/>
      <c r="D271" s="165"/>
      <c r="E271" s="165">
        <f>SUM(E266:E270)</f>
        <v>95.174999999999997</v>
      </c>
      <c r="F271" s="165">
        <f t="shared" ref="F271:J271" si="195">SUM(F266:F270)</f>
        <v>97.610923217550265</v>
      </c>
      <c r="G271" s="165">
        <f t="shared" si="195"/>
        <v>98.828884826325407</v>
      </c>
      <c r="H271" s="165">
        <f t="shared" si="195"/>
        <v>100.04684643510055</v>
      </c>
      <c r="I271" s="165">
        <f t="shared" si="195"/>
        <v>101.61279707495429</v>
      </c>
      <c r="J271" s="165">
        <f t="shared" ca="1" si="195"/>
        <v>100.04684643510055</v>
      </c>
      <c r="K271" s="216">
        <f t="shared" ref="K271:L271" ca="1" si="196">SUM(K266:K270)</f>
        <v>0</v>
      </c>
      <c r="L271" s="165">
        <f t="shared" ca="1" si="196"/>
        <v>100.04684643510055</v>
      </c>
      <c r="M271" s="165">
        <f t="shared" ref="M271:V271" ca="1" si="197">SUM(M266:M270)</f>
        <v>108.65957495429616</v>
      </c>
      <c r="N271" s="165">
        <f t="shared" ca="1" si="197"/>
        <v>105.35367915904934</v>
      </c>
      <c r="O271" s="165">
        <f t="shared" ca="1" si="197"/>
        <v>105.35367915904936</v>
      </c>
      <c r="P271" s="165">
        <f t="shared" ca="1" si="197"/>
        <v>106.33296688827278</v>
      </c>
      <c r="Q271" s="165">
        <f t="shared" ca="1" si="197"/>
        <v>107.32099639956367</v>
      </c>
      <c r="R271" s="165">
        <f t="shared" ca="1" si="197"/>
        <v>108.31784572795856</v>
      </c>
      <c r="S271" s="165">
        <f t="shared" ca="1" si="197"/>
        <v>109.32359360508723</v>
      </c>
      <c r="T271" s="165">
        <f t="shared" ca="1" si="197"/>
        <v>110.33831946539115</v>
      </c>
      <c r="U271" s="165">
        <f t="shared" ca="1" si="197"/>
        <v>111.36210345239704</v>
      </c>
      <c r="V271" s="165">
        <f t="shared" ca="1" si="197"/>
        <v>112.39502642504677</v>
      </c>
    </row>
    <row r="272" spans="2:22" ht="13.5" customHeight="1" outlineLevel="1">
      <c r="B272" s="38" t="s">
        <v>167</v>
      </c>
      <c r="D272" s="64"/>
      <c r="E272" s="509">
        <v>0</v>
      </c>
      <c r="F272" s="57">
        <f>E272</f>
        <v>0</v>
      </c>
      <c r="G272" s="57">
        <f t="shared" ref="G272:I272" si="198">F272</f>
        <v>0</v>
      </c>
      <c r="H272" s="57">
        <f t="shared" si="198"/>
        <v>0</v>
      </c>
      <c r="I272" s="57">
        <f t="shared" si="198"/>
        <v>0</v>
      </c>
      <c r="J272" s="113">
        <f t="shared" ca="1" si="191"/>
        <v>0</v>
      </c>
      <c r="K272" s="224">
        <f t="shared" ref="K272:K282" ca="1" si="199">L272-J272</f>
        <v>0</v>
      </c>
      <c r="L272" s="113">
        <f t="shared" ref="L272:L282" ca="1" si="200">O1357</f>
        <v>0</v>
      </c>
      <c r="M272" s="57">
        <f t="shared" ref="M272:V272" ca="1" si="201">L272</f>
        <v>0</v>
      </c>
      <c r="N272" s="57">
        <f t="shared" ca="1" si="201"/>
        <v>0</v>
      </c>
      <c r="O272" s="57">
        <f t="shared" ca="1" si="201"/>
        <v>0</v>
      </c>
      <c r="P272" s="57">
        <f t="shared" ca="1" si="201"/>
        <v>0</v>
      </c>
      <c r="Q272" s="57">
        <f t="shared" ca="1" si="201"/>
        <v>0</v>
      </c>
      <c r="R272" s="57">
        <f t="shared" ca="1" si="201"/>
        <v>0</v>
      </c>
      <c r="S272" s="57">
        <f t="shared" ca="1" si="201"/>
        <v>0</v>
      </c>
      <c r="T272" s="57">
        <f t="shared" ca="1" si="201"/>
        <v>0</v>
      </c>
      <c r="U272" s="57">
        <f t="shared" ca="1" si="201"/>
        <v>0</v>
      </c>
      <c r="V272" s="57">
        <f t="shared" ca="1" si="201"/>
        <v>0</v>
      </c>
    </row>
    <row r="273" spans="2:22" ht="13.5" customHeight="1" outlineLevel="1">
      <c r="B273" s="88" t="s">
        <v>165</v>
      </c>
      <c r="D273" s="64"/>
      <c r="E273" s="509">
        <v>230</v>
      </c>
      <c r="F273" s="57">
        <f t="shared" ref="F273:I273" si="202">E273</f>
        <v>230</v>
      </c>
      <c r="G273" s="57">
        <f t="shared" si="202"/>
        <v>230</v>
      </c>
      <c r="H273" s="57">
        <f t="shared" si="202"/>
        <v>230</v>
      </c>
      <c r="I273" s="57">
        <f t="shared" si="202"/>
        <v>230</v>
      </c>
      <c r="J273" s="113">
        <f ca="1">OFFSET(D273,0,MATCH(J$243,E$243:I$243))</f>
        <v>230</v>
      </c>
      <c r="K273" s="224">
        <f t="shared" ca="1" si="199"/>
        <v>-230</v>
      </c>
      <c r="L273" s="113">
        <f t="shared" ca="1" si="200"/>
        <v>0</v>
      </c>
      <c r="M273" s="217">
        <f t="shared" ref="M273:V273" ca="1" si="203">L273+M341</f>
        <v>0</v>
      </c>
      <c r="N273" s="217">
        <f t="shared" ca="1" si="203"/>
        <v>0</v>
      </c>
      <c r="O273" s="217">
        <f t="shared" ca="1" si="203"/>
        <v>0</v>
      </c>
      <c r="P273" s="217">
        <f t="shared" ca="1" si="203"/>
        <v>0</v>
      </c>
      <c r="Q273" s="217">
        <f t="shared" ca="1" si="203"/>
        <v>0</v>
      </c>
      <c r="R273" s="217">
        <f t="shared" ca="1" si="203"/>
        <v>0</v>
      </c>
      <c r="S273" s="217">
        <f t="shared" ca="1" si="203"/>
        <v>0</v>
      </c>
      <c r="T273" s="217">
        <f t="shared" ca="1" si="203"/>
        <v>0</v>
      </c>
      <c r="U273" s="217">
        <f t="shared" ca="1" si="203"/>
        <v>0</v>
      </c>
      <c r="V273" s="217">
        <f t="shared" ca="1" si="203"/>
        <v>0</v>
      </c>
    </row>
    <row r="274" spans="2:22" ht="13.5" customHeight="1" outlineLevel="1">
      <c r="B274" s="88" t="str">
        <f>B15</f>
        <v>Revolver</v>
      </c>
      <c r="D274" s="64"/>
      <c r="E274" s="509">
        <v>0</v>
      </c>
      <c r="F274" s="57">
        <f t="shared" ref="F274:I274" si="204">E274</f>
        <v>0</v>
      </c>
      <c r="G274" s="57">
        <f t="shared" si="204"/>
        <v>0</v>
      </c>
      <c r="H274" s="57">
        <f t="shared" si="204"/>
        <v>0</v>
      </c>
      <c r="I274" s="57">
        <f t="shared" si="204"/>
        <v>0</v>
      </c>
      <c r="J274" s="113">
        <f t="shared" ca="1" si="191"/>
        <v>0</v>
      </c>
      <c r="K274" s="224">
        <f t="shared" ca="1" si="199"/>
        <v>0</v>
      </c>
      <c r="L274" s="113">
        <f ca="1">O1359</f>
        <v>0</v>
      </c>
      <c r="M274" s="217">
        <f t="shared" ref="M274:V274" ca="1" si="205">L274+M340</f>
        <v>0</v>
      </c>
      <c r="N274" s="217">
        <f t="shared" ca="1" si="205"/>
        <v>0</v>
      </c>
      <c r="O274" s="217">
        <f t="shared" ca="1" si="205"/>
        <v>0</v>
      </c>
      <c r="P274" s="217">
        <f t="shared" ca="1" si="205"/>
        <v>0</v>
      </c>
      <c r="Q274" s="217">
        <f t="shared" ca="1" si="205"/>
        <v>0</v>
      </c>
      <c r="R274" s="217">
        <f t="shared" ca="1" si="205"/>
        <v>0</v>
      </c>
      <c r="S274" s="217">
        <f t="shared" ca="1" si="205"/>
        <v>0</v>
      </c>
      <c r="T274" s="217">
        <f t="shared" ca="1" si="205"/>
        <v>0</v>
      </c>
      <c r="U274" s="217">
        <f t="shared" ca="1" si="205"/>
        <v>0</v>
      </c>
      <c r="V274" s="217">
        <f t="shared" ca="1" si="205"/>
        <v>0</v>
      </c>
    </row>
    <row r="275" spans="2:22" ht="13.5" customHeight="1" outlineLevel="1">
      <c r="B275" s="88" t="str">
        <f t="shared" ref="B275:B282" si="206">B1302</f>
        <v>Term loan - A</v>
      </c>
      <c r="D275" s="64"/>
      <c r="E275" s="509">
        <v>0</v>
      </c>
      <c r="F275" s="57">
        <f t="shared" ref="F275:I275" si="207">E275</f>
        <v>0</v>
      </c>
      <c r="G275" s="57">
        <f t="shared" si="207"/>
        <v>0</v>
      </c>
      <c r="H275" s="57">
        <f t="shared" si="207"/>
        <v>0</v>
      </c>
      <c r="I275" s="57">
        <f t="shared" si="207"/>
        <v>0</v>
      </c>
      <c r="J275" s="113">
        <f t="shared" ca="1" si="191"/>
        <v>0</v>
      </c>
      <c r="K275" s="224">
        <f t="shared" ca="1" si="199"/>
        <v>50</v>
      </c>
      <c r="L275" s="113">
        <f t="shared" ca="1" si="200"/>
        <v>50</v>
      </c>
      <c r="M275" s="217">
        <f ca="1">M554</f>
        <v>0</v>
      </c>
      <c r="N275" s="217">
        <f t="shared" ref="N275:V275" ca="1" si="208">N554</f>
        <v>0</v>
      </c>
      <c r="O275" s="217">
        <f t="shared" ca="1" si="208"/>
        <v>0</v>
      </c>
      <c r="P275" s="217">
        <f t="shared" ca="1" si="208"/>
        <v>0</v>
      </c>
      <c r="Q275" s="217">
        <f t="shared" ca="1" si="208"/>
        <v>0</v>
      </c>
      <c r="R275" s="217">
        <f t="shared" ca="1" si="208"/>
        <v>0</v>
      </c>
      <c r="S275" s="217">
        <f t="shared" ca="1" si="208"/>
        <v>0</v>
      </c>
      <c r="T275" s="217">
        <f t="shared" ca="1" si="208"/>
        <v>0</v>
      </c>
      <c r="U275" s="217">
        <f t="shared" ca="1" si="208"/>
        <v>0</v>
      </c>
      <c r="V275" s="217">
        <f t="shared" ca="1" si="208"/>
        <v>0</v>
      </c>
    </row>
    <row r="276" spans="2:22" ht="13.5" customHeight="1" outlineLevel="1">
      <c r="B276" s="88" t="str">
        <f t="shared" si="206"/>
        <v>Term loan - B</v>
      </c>
      <c r="D276" s="64"/>
      <c r="E276" s="509">
        <v>0</v>
      </c>
      <c r="F276" s="57">
        <f t="shared" ref="F276:I276" si="209">E276</f>
        <v>0</v>
      </c>
      <c r="G276" s="57">
        <f t="shared" si="209"/>
        <v>0</v>
      </c>
      <c r="H276" s="57">
        <f t="shared" si="209"/>
        <v>0</v>
      </c>
      <c r="I276" s="57">
        <f t="shared" si="209"/>
        <v>0</v>
      </c>
      <c r="J276" s="113">
        <f t="shared" ca="1" si="191"/>
        <v>0</v>
      </c>
      <c r="K276" s="224">
        <f t="shared" ca="1" si="199"/>
        <v>0</v>
      </c>
      <c r="L276" s="113">
        <f t="shared" ca="1" si="200"/>
        <v>0</v>
      </c>
      <c r="M276" s="217">
        <f ca="1">M583</f>
        <v>0</v>
      </c>
      <c r="N276" s="217">
        <f t="shared" ref="N276:V276" ca="1" si="210">N583</f>
        <v>0</v>
      </c>
      <c r="O276" s="217">
        <f t="shared" ca="1" si="210"/>
        <v>0</v>
      </c>
      <c r="P276" s="217">
        <f t="shared" ca="1" si="210"/>
        <v>0</v>
      </c>
      <c r="Q276" s="217">
        <f t="shared" ca="1" si="210"/>
        <v>0</v>
      </c>
      <c r="R276" s="217">
        <f t="shared" ca="1" si="210"/>
        <v>0</v>
      </c>
      <c r="S276" s="217">
        <f t="shared" ca="1" si="210"/>
        <v>0</v>
      </c>
      <c r="T276" s="217">
        <f t="shared" ca="1" si="210"/>
        <v>0</v>
      </c>
      <c r="U276" s="217">
        <f t="shared" ca="1" si="210"/>
        <v>0</v>
      </c>
      <c r="V276" s="217">
        <f t="shared" ca="1" si="210"/>
        <v>0</v>
      </c>
    </row>
    <row r="277" spans="2:22" ht="13.5" customHeight="1" outlineLevel="1">
      <c r="B277" s="88" t="str">
        <f t="shared" si="206"/>
        <v>Senior note</v>
      </c>
      <c r="D277" s="64"/>
      <c r="E277" s="509">
        <v>0</v>
      </c>
      <c r="F277" s="57">
        <f t="shared" ref="F277:I277" si="211">E277</f>
        <v>0</v>
      </c>
      <c r="G277" s="57">
        <f t="shared" si="211"/>
        <v>0</v>
      </c>
      <c r="H277" s="57">
        <f t="shared" si="211"/>
        <v>0</v>
      </c>
      <c r="I277" s="57">
        <f t="shared" si="211"/>
        <v>0</v>
      </c>
      <c r="J277" s="113">
        <f t="shared" ca="1" si="191"/>
        <v>0</v>
      </c>
      <c r="K277" s="224">
        <f t="shared" ca="1" si="199"/>
        <v>95</v>
      </c>
      <c r="L277" s="113">
        <f t="shared" ca="1" si="200"/>
        <v>95</v>
      </c>
      <c r="M277" s="217">
        <f ca="1">M612</f>
        <v>95.9375</v>
      </c>
      <c r="N277" s="217">
        <f t="shared" ref="N277:V277" ca="1" si="212">N612</f>
        <v>97.1875</v>
      </c>
      <c r="O277" s="217">
        <f t="shared" ca="1" si="212"/>
        <v>98.4375</v>
      </c>
      <c r="P277" s="217">
        <f t="shared" ca="1" si="212"/>
        <v>99.6875</v>
      </c>
      <c r="Q277" s="217">
        <f t="shared" ca="1" si="212"/>
        <v>100</v>
      </c>
      <c r="R277" s="217">
        <f t="shared" ca="1" si="212"/>
        <v>100</v>
      </c>
      <c r="S277" s="217">
        <f t="shared" ca="1" si="212"/>
        <v>100</v>
      </c>
      <c r="T277" s="217">
        <f t="shared" ca="1" si="212"/>
        <v>0</v>
      </c>
      <c r="U277" s="217">
        <f t="shared" ca="1" si="212"/>
        <v>0</v>
      </c>
      <c r="V277" s="217">
        <f t="shared" ca="1" si="212"/>
        <v>0</v>
      </c>
    </row>
    <row r="278" spans="2:22" ht="13.5" customHeight="1" outlineLevel="1">
      <c r="B278" s="88" t="str">
        <f t="shared" si="206"/>
        <v>Subordinated note</v>
      </c>
      <c r="D278" s="64"/>
      <c r="E278" s="509">
        <v>0</v>
      </c>
      <c r="F278" s="57">
        <f t="shared" ref="F278:I278" si="213">E278</f>
        <v>0</v>
      </c>
      <c r="G278" s="57">
        <f t="shared" si="213"/>
        <v>0</v>
      </c>
      <c r="H278" s="57">
        <f t="shared" si="213"/>
        <v>0</v>
      </c>
      <c r="I278" s="57">
        <f t="shared" si="213"/>
        <v>0</v>
      </c>
      <c r="J278" s="113">
        <f t="shared" ca="1" si="191"/>
        <v>0</v>
      </c>
      <c r="K278" s="224">
        <f t="shared" ca="1" si="199"/>
        <v>47.5</v>
      </c>
      <c r="L278" s="113">
        <f t="shared" ca="1" si="200"/>
        <v>47.5</v>
      </c>
      <c r="M278" s="217">
        <f ca="1">M641</f>
        <v>47.96875</v>
      </c>
      <c r="N278" s="217">
        <f t="shared" ref="N278:V278" ca="1" si="214">N641</f>
        <v>48.59375</v>
      </c>
      <c r="O278" s="217">
        <f t="shared" ca="1" si="214"/>
        <v>49.21875</v>
      </c>
      <c r="P278" s="217">
        <f t="shared" ca="1" si="214"/>
        <v>49.84375</v>
      </c>
      <c r="Q278" s="217">
        <f t="shared" ca="1" si="214"/>
        <v>50</v>
      </c>
      <c r="R278" s="217">
        <f t="shared" ca="1" si="214"/>
        <v>0</v>
      </c>
      <c r="S278" s="217">
        <f t="shared" ca="1" si="214"/>
        <v>0</v>
      </c>
      <c r="T278" s="217">
        <f t="shared" ca="1" si="214"/>
        <v>0</v>
      </c>
      <c r="U278" s="217">
        <f t="shared" ca="1" si="214"/>
        <v>0</v>
      </c>
      <c r="V278" s="217">
        <f t="shared" ca="1" si="214"/>
        <v>0</v>
      </c>
    </row>
    <row r="279" spans="2:22" ht="13.5" customHeight="1" outlineLevel="1">
      <c r="B279" s="88" t="str">
        <f t="shared" si="206"/>
        <v>Mezzanine</v>
      </c>
      <c r="D279" s="64"/>
      <c r="E279" s="509">
        <v>0</v>
      </c>
      <c r="F279" s="57">
        <f t="shared" ref="F279:I279" si="215">E279</f>
        <v>0</v>
      </c>
      <c r="G279" s="57">
        <f t="shared" si="215"/>
        <v>0</v>
      </c>
      <c r="H279" s="57">
        <f t="shared" si="215"/>
        <v>0</v>
      </c>
      <c r="I279" s="57">
        <f t="shared" si="215"/>
        <v>0</v>
      </c>
      <c r="J279" s="113">
        <f t="shared" ca="1" si="191"/>
        <v>0</v>
      </c>
      <c r="K279" s="224">
        <f t="shared" ca="1" si="199"/>
        <v>0</v>
      </c>
      <c r="L279" s="113">
        <f t="shared" ca="1" si="200"/>
        <v>0</v>
      </c>
      <c r="M279" s="217">
        <f ca="1">M670</f>
        <v>0</v>
      </c>
      <c r="N279" s="217">
        <f t="shared" ref="N279:V279" ca="1" si="216">N670</f>
        <v>0</v>
      </c>
      <c r="O279" s="217">
        <f t="shared" ca="1" si="216"/>
        <v>0</v>
      </c>
      <c r="P279" s="217">
        <f t="shared" ca="1" si="216"/>
        <v>0</v>
      </c>
      <c r="Q279" s="217">
        <f t="shared" ca="1" si="216"/>
        <v>0</v>
      </c>
      <c r="R279" s="217">
        <f t="shared" ca="1" si="216"/>
        <v>0</v>
      </c>
      <c r="S279" s="217">
        <f t="shared" ca="1" si="216"/>
        <v>0</v>
      </c>
      <c r="T279" s="217">
        <f t="shared" ca="1" si="216"/>
        <v>0</v>
      </c>
      <c r="U279" s="217">
        <f t="shared" ca="1" si="216"/>
        <v>0</v>
      </c>
      <c r="V279" s="217">
        <f t="shared" ca="1" si="216"/>
        <v>0</v>
      </c>
    </row>
    <row r="280" spans="2:22" ht="13.5" customHeight="1" outlineLevel="1">
      <c r="B280" s="88" t="str">
        <f t="shared" si="206"/>
        <v>Seller note</v>
      </c>
      <c r="D280" s="64"/>
      <c r="E280" s="509">
        <v>0</v>
      </c>
      <c r="F280" s="57">
        <f t="shared" ref="F280:I280" si="217">E280</f>
        <v>0</v>
      </c>
      <c r="G280" s="57">
        <f t="shared" si="217"/>
        <v>0</v>
      </c>
      <c r="H280" s="57">
        <f t="shared" si="217"/>
        <v>0</v>
      </c>
      <c r="I280" s="57">
        <f t="shared" si="217"/>
        <v>0</v>
      </c>
      <c r="J280" s="113">
        <f t="shared" ca="1" si="191"/>
        <v>0</v>
      </c>
      <c r="K280" s="224">
        <f t="shared" ca="1" si="199"/>
        <v>0</v>
      </c>
      <c r="L280" s="113">
        <f t="shared" ca="1" si="200"/>
        <v>0</v>
      </c>
      <c r="M280" s="217">
        <f ca="1">M699</f>
        <v>0</v>
      </c>
      <c r="N280" s="217">
        <f t="shared" ref="N280:V280" ca="1" si="218">N699</f>
        <v>0</v>
      </c>
      <c r="O280" s="217">
        <f t="shared" ca="1" si="218"/>
        <v>0</v>
      </c>
      <c r="P280" s="217">
        <f t="shared" ca="1" si="218"/>
        <v>0</v>
      </c>
      <c r="Q280" s="217">
        <f t="shared" ca="1" si="218"/>
        <v>0</v>
      </c>
      <c r="R280" s="217">
        <f t="shared" ca="1" si="218"/>
        <v>0</v>
      </c>
      <c r="S280" s="217">
        <f t="shared" ca="1" si="218"/>
        <v>0</v>
      </c>
      <c r="T280" s="217">
        <f t="shared" ca="1" si="218"/>
        <v>0</v>
      </c>
      <c r="U280" s="217">
        <f t="shared" ca="1" si="218"/>
        <v>0</v>
      </c>
      <c r="V280" s="217">
        <f t="shared" ca="1" si="218"/>
        <v>0</v>
      </c>
    </row>
    <row r="281" spans="2:22" ht="13.5" customHeight="1" outlineLevel="1">
      <c r="B281" s="88" t="str">
        <f t="shared" si="206"/>
        <v>Convertible bond</v>
      </c>
      <c r="D281" s="64"/>
      <c r="E281" s="509">
        <v>0</v>
      </c>
      <c r="F281" s="57">
        <f t="shared" ref="F281:F282" si="219">E281</f>
        <v>0</v>
      </c>
      <c r="G281" s="57">
        <f t="shared" ref="G281:G282" si="220">F281</f>
        <v>0</v>
      </c>
      <c r="H281" s="57">
        <f t="shared" ref="H281:H282" si="221">G281</f>
        <v>0</v>
      </c>
      <c r="I281" s="57">
        <f t="shared" ref="I281:I282" si="222">H281</f>
        <v>0</v>
      </c>
      <c r="J281" s="113">
        <f t="shared" ref="J281:J282" ca="1" si="223">OFFSET(D281,0,MATCH(J$243,E$243:I$243))</f>
        <v>0</v>
      </c>
      <c r="K281" s="224">
        <f t="shared" ca="1" si="199"/>
        <v>0</v>
      </c>
      <c r="L281" s="113">
        <f t="shared" ca="1" si="200"/>
        <v>0</v>
      </c>
      <c r="M281" s="217">
        <f ca="1">M728</f>
        <v>0</v>
      </c>
      <c r="N281" s="217">
        <f t="shared" ref="N281:V281" ca="1" si="224">N728</f>
        <v>0</v>
      </c>
      <c r="O281" s="217">
        <f t="shared" ca="1" si="224"/>
        <v>0</v>
      </c>
      <c r="P281" s="217">
        <f t="shared" ca="1" si="224"/>
        <v>0</v>
      </c>
      <c r="Q281" s="217">
        <f t="shared" ca="1" si="224"/>
        <v>0</v>
      </c>
      <c r="R281" s="217">
        <f t="shared" ca="1" si="224"/>
        <v>0</v>
      </c>
      <c r="S281" s="217">
        <f t="shared" ca="1" si="224"/>
        <v>0</v>
      </c>
      <c r="T281" s="217">
        <f t="shared" ca="1" si="224"/>
        <v>0</v>
      </c>
      <c r="U281" s="217">
        <f t="shared" ca="1" si="224"/>
        <v>0</v>
      </c>
      <c r="V281" s="217">
        <f t="shared" ca="1" si="224"/>
        <v>0</v>
      </c>
    </row>
    <row r="282" spans="2:22" ht="13.5" customHeight="1" outlineLevel="1">
      <c r="B282" s="88" t="str">
        <f t="shared" si="206"/>
        <v>[Debt 8]</v>
      </c>
      <c r="D282" s="64"/>
      <c r="E282" s="509">
        <v>0</v>
      </c>
      <c r="F282" s="57">
        <f t="shared" si="219"/>
        <v>0</v>
      </c>
      <c r="G282" s="57">
        <f t="shared" si="220"/>
        <v>0</v>
      </c>
      <c r="H282" s="57">
        <f t="shared" si="221"/>
        <v>0</v>
      </c>
      <c r="I282" s="57">
        <f t="shared" si="222"/>
        <v>0</v>
      </c>
      <c r="J282" s="113">
        <f t="shared" ca="1" si="223"/>
        <v>0</v>
      </c>
      <c r="K282" s="224">
        <f t="shared" ca="1" si="199"/>
        <v>0</v>
      </c>
      <c r="L282" s="113">
        <f t="shared" ca="1" si="200"/>
        <v>0</v>
      </c>
      <c r="M282" s="217">
        <f ca="1">M757</f>
        <v>0</v>
      </c>
      <c r="N282" s="217">
        <f t="shared" ref="N282:V282" ca="1" si="225">N757</f>
        <v>0</v>
      </c>
      <c r="O282" s="217">
        <f t="shared" ca="1" si="225"/>
        <v>0</v>
      </c>
      <c r="P282" s="217">
        <f t="shared" ca="1" si="225"/>
        <v>0</v>
      </c>
      <c r="Q282" s="217">
        <f t="shared" ca="1" si="225"/>
        <v>0</v>
      </c>
      <c r="R282" s="217">
        <f t="shared" ca="1" si="225"/>
        <v>0</v>
      </c>
      <c r="S282" s="217">
        <f t="shared" ca="1" si="225"/>
        <v>0</v>
      </c>
      <c r="T282" s="217">
        <f t="shared" ca="1" si="225"/>
        <v>0</v>
      </c>
      <c r="U282" s="217">
        <f t="shared" ca="1" si="225"/>
        <v>0</v>
      </c>
      <c r="V282" s="217">
        <f t="shared" ca="1" si="225"/>
        <v>0</v>
      </c>
    </row>
    <row r="283" spans="2:22" ht="13.5" customHeight="1" outlineLevel="1">
      <c r="B283" s="81" t="s">
        <v>164</v>
      </c>
      <c r="C283" s="81"/>
      <c r="D283" s="225"/>
      <c r="E283" s="225">
        <f ca="1">SUM(E273:OFFSET(E283,-1,0))</f>
        <v>230</v>
      </c>
      <c r="F283" s="225">
        <f ca="1">SUM(F273:OFFSET(F283,-1,0))</f>
        <v>230</v>
      </c>
      <c r="G283" s="225">
        <f ca="1">SUM(G273:OFFSET(G283,-1,0))</f>
        <v>230</v>
      </c>
      <c r="H283" s="225">
        <f ca="1">SUM(H273:OFFSET(H283,-1,0))</f>
        <v>230</v>
      </c>
      <c r="I283" s="225">
        <f ca="1">SUM(I273:OFFSET(I283,-1,0))</f>
        <v>230</v>
      </c>
      <c r="J283" s="225">
        <f ca="1">SUM(J273:OFFSET(J283,-1,0))</f>
        <v>230</v>
      </c>
      <c r="K283" s="226">
        <f ca="1">SUM(K273:OFFSET(K283,-1,0))</f>
        <v>-37.5</v>
      </c>
      <c r="L283" s="225">
        <f ca="1">SUM(L273:OFFSET(L283,-1,0))</f>
        <v>192.5</v>
      </c>
      <c r="M283" s="225">
        <f ca="1">SUM(M273:OFFSET(M283,-1,0))</f>
        <v>143.90625</v>
      </c>
      <c r="N283" s="225">
        <f ca="1">SUM(N273:OFFSET(N283,-1,0))</f>
        <v>145.78125</v>
      </c>
      <c r="O283" s="225">
        <f ca="1">SUM(O273:OFFSET(O283,-1,0))</f>
        <v>147.65625</v>
      </c>
      <c r="P283" s="225">
        <f ca="1">SUM(P273:OFFSET(P283,-1,0))</f>
        <v>149.53125</v>
      </c>
      <c r="Q283" s="225">
        <f ca="1">SUM(Q273:OFFSET(Q283,-1,0))</f>
        <v>150</v>
      </c>
      <c r="R283" s="225">
        <f ca="1">SUM(R273:OFFSET(R283,-1,0))</f>
        <v>100</v>
      </c>
      <c r="S283" s="225">
        <f ca="1">SUM(S273:OFFSET(S283,-1,0))</f>
        <v>100</v>
      </c>
      <c r="T283" s="225">
        <f ca="1">SUM(T273:OFFSET(T283,-1,0))</f>
        <v>0</v>
      </c>
      <c r="U283" s="225">
        <f ca="1">SUM(U273:OFFSET(U283,-1,0))</f>
        <v>0</v>
      </c>
      <c r="V283" s="225">
        <f ca="1">SUM(V273:OFFSET(V283,-1,0))</f>
        <v>0</v>
      </c>
    </row>
    <row r="284" spans="2:22" ht="13.5" customHeight="1" outlineLevel="1">
      <c r="B284" s="38" t="s">
        <v>463</v>
      </c>
      <c r="D284" s="64"/>
      <c r="E284" s="509">
        <v>-8.8279999999999994</v>
      </c>
      <c r="F284" s="57">
        <f ca="1">F1022</f>
        <v>-8.8279999999999994</v>
      </c>
      <c r="G284" s="57">
        <f t="shared" ref="G284:I284" ca="1" si="226">G1022</f>
        <v>-8.8279999999999994</v>
      </c>
      <c r="H284" s="57">
        <f t="shared" ca="1" si="226"/>
        <v>-8.8279999999999994</v>
      </c>
      <c r="I284" s="57">
        <f t="shared" ca="1" si="226"/>
        <v>-8.8279999999999994</v>
      </c>
      <c r="J284" s="113">
        <f ca="1">OFFSET(D284,0,MATCH(J$243,E$243:I$243))</f>
        <v>-8.8279999999999994</v>
      </c>
      <c r="K284" s="218">
        <f ca="1">L284-J284</f>
        <v>45.83437281117186</v>
      </c>
      <c r="L284" s="113">
        <f ca="1">O1369</f>
        <v>37.006372811171865</v>
      </c>
      <c r="M284" s="57">
        <f t="shared" ref="M284:V284" ca="1" si="227">M1022</f>
        <v>36.721370368314723</v>
      </c>
      <c r="N284" s="57">
        <f t="shared" ca="1" si="227"/>
        <v>36.341367111171877</v>
      </c>
      <c r="O284" s="57">
        <f t="shared" ca="1" si="227"/>
        <v>35.961363854029024</v>
      </c>
      <c r="P284" s="57">
        <f t="shared" ca="1" si="227"/>
        <v>35.581360596886178</v>
      </c>
      <c r="Q284" s="57">
        <f t="shared" ca="1" si="227"/>
        <v>35.201357339743318</v>
      </c>
      <c r="R284" s="57">
        <f t="shared" ca="1" si="227"/>
        <v>34.965730320100462</v>
      </c>
      <c r="S284" s="57">
        <f t="shared" ca="1" si="227"/>
        <v>34.778228712957613</v>
      </c>
      <c r="T284" s="57">
        <f t="shared" ca="1" si="227"/>
        <v>34.731353311171901</v>
      </c>
      <c r="U284" s="57">
        <f t="shared" ca="1" si="227"/>
        <v>34.731353311171901</v>
      </c>
      <c r="V284" s="57">
        <f t="shared" ca="1" si="227"/>
        <v>34.731353311171901</v>
      </c>
    </row>
    <row r="285" spans="2:22" ht="13.5" customHeight="1" outlineLevel="1">
      <c r="B285" s="38" t="s">
        <v>166</v>
      </c>
      <c r="D285" s="64"/>
      <c r="E285" s="509">
        <v>17.917000000000002</v>
      </c>
      <c r="F285" s="57">
        <f>E285</f>
        <v>17.917000000000002</v>
      </c>
      <c r="G285" s="57">
        <f>F285</f>
        <v>17.917000000000002</v>
      </c>
      <c r="H285" s="57">
        <f>G285</f>
        <v>17.917000000000002</v>
      </c>
      <c r="I285" s="57">
        <f>H285</f>
        <v>17.917000000000002</v>
      </c>
      <c r="J285" s="113">
        <f ca="1">OFFSET(D285,0,MATCH(J$243,E$243:I$243))</f>
        <v>17.917000000000002</v>
      </c>
      <c r="K285" s="218">
        <f ca="1">L285-J285</f>
        <v>0</v>
      </c>
      <c r="L285" s="113">
        <f ca="1">O1370</f>
        <v>17.917000000000002</v>
      </c>
      <c r="M285" s="57">
        <f t="shared" ref="M285:V285" ca="1" si="228">L285</f>
        <v>17.917000000000002</v>
      </c>
      <c r="N285" s="57">
        <f t="shared" ca="1" si="228"/>
        <v>17.917000000000002</v>
      </c>
      <c r="O285" s="57">
        <f t="shared" ca="1" si="228"/>
        <v>17.917000000000002</v>
      </c>
      <c r="P285" s="57">
        <f t="shared" ca="1" si="228"/>
        <v>17.917000000000002</v>
      </c>
      <c r="Q285" s="57">
        <f t="shared" ca="1" si="228"/>
        <v>17.917000000000002</v>
      </c>
      <c r="R285" s="57">
        <f t="shared" ca="1" si="228"/>
        <v>17.917000000000002</v>
      </c>
      <c r="S285" s="57">
        <f t="shared" ca="1" si="228"/>
        <v>17.917000000000002</v>
      </c>
      <c r="T285" s="57">
        <f t="shared" ca="1" si="228"/>
        <v>17.917000000000002</v>
      </c>
      <c r="U285" s="57">
        <f t="shared" ca="1" si="228"/>
        <v>17.917000000000002</v>
      </c>
      <c r="V285" s="57">
        <f t="shared" ca="1" si="228"/>
        <v>17.917000000000002</v>
      </c>
    </row>
    <row r="286" spans="2:22" ht="13.5" customHeight="1" outlineLevel="1">
      <c r="B286" s="221" t="s">
        <v>204</v>
      </c>
      <c r="C286" s="221"/>
      <c r="D286" s="227"/>
      <c r="E286" s="227">
        <f ca="1">SUM(E271:E272,E283:E285)</f>
        <v>334.26400000000001</v>
      </c>
      <c r="F286" s="227">
        <f t="shared" ref="F286:V286" ca="1" si="229">SUM(F271:F272,F283:F285)</f>
        <v>336.69992321755035</v>
      </c>
      <c r="G286" s="227">
        <f t="shared" ca="1" si="229"/>
        <v>337.91788482632546</v>
      </c>
      <c r="H286" s="227">
        <f t="shared" ca="1" si="229"/>
        <v>339.13584643510058</v>
      </c>
      <c r="I286" s="227">
        <f t="shared" ca="1" si="229"/>
        <v>340.70179707495436</v>
      </c>
      <c r="J286" s="227">
        <f t="shared" ca="1" si="229"/>
        <v>339.13584643510058</v>
      </c>
      <c r="K286" s="178">
        <f t="shared" ca="1" si="229"/>
        <v>8.3343728111718605</v>
      </c>
      <c r="L286" s="227">
        <f t="shared" ca="1" si="229"/>
        <v>347.47021924627234</v>
      </c>
      <c r="M286" s="227">
        <f t="shared" ca="1" si="229"/>
        <v>307.20419532261087</v>
      </c>
      <c r="N286" s="227">
        <f t="shared" ca="1" si="229"/>
        <v>305.39329627022119</v>
      </c>
      <c r="O286" s="227">
        <f t="shared" ca="1" si="229"/>
        <v>306.8882930130784</v>
      </c>
      <c r="P286" s="227">
        <f t="shared" ca="1" si="229"/>
        <v>309.36257748515891</v>
      </c>
      <c r="Q286" s="227">
        <f t="shared" ca="1" si="229"/>
        <v>310.43935373930697</v>
      </c>
      <c r="R286" s="227">
        <f t="shared" ca="1" si="229"/>
        <v>261.20057604805902</v>
      </c>
      <c r="S286" s="227">
        <f t="shared" ca="1" si="229"/>
        <v>262.01882231804484</v>
      </c>
      <c r="T286" s="227">
        <f t="shared" ca="1" si="229"/>
        <v>162.98667277656304</v>
      </c>
      <c r="U286" s="227">
        <f t="shared" ca="1" si="229"/>
        <v>164.01045676356895</v>
      </c>
      <c r="V286" s="227">
        <f t="shared" ca="1" si="229"/>
        <v>165.04337973621867</v>
      </c>
    </row>
    <row r="287" spans="2:22" ht="13.5" customHeight="1" outlineLevel="1">
      <c r="B287" s="88" t="s">
        <v>160</v>
      </c>
      <c r="D287" s="64"/>
      <c r="E287" s="509">
        <v>0</v>
      </c>
      <c r="F287" s="57">
        <f t="shared" ref="F287:I287" si="230">E287</f>
        <v>0</v>
      </c>
      <c r="G287" s="57">
        <f t="shared" si="230"/>
        <v>0</v>
      </c>
      <c r="H287" s="57">
        <f t="shared" si="230"/>
        <v>0</v>
      </c>
      <c r="I287" s="57">
        <f t="shared" si="230"/>
        <v>0</v>
      </c>
      <c r="J287" s="113">
        <f t="shared" ref="J287" ca="1" si="231">OFFSET(D287,0,MATCH(J$243,E$243:I$243))</f>
        <v>0</v>
      </c>
      <c r="K287" s="218">
        <f t="shared" ref="K287:K292" ca="1" si="232">L287-J287</f>
        <v>0</v>
      </c>
      <c r="L287" s="113">
        <f t="shared" ref="L287:L292" ca="1" si="233">O1372</f>
        <v>0</v>
      </c>
      <c r="M287" s="57">
        <f t="shared" ref="M287:V287" ca="1" si="234">L287+M183</f>
        <v>0</v>
      </c>
      <c r="N287" s="57">
        <f t="shared" ca="1" si="234"/>
        <v>0</v>
      </c>
      <c r="O287" s="57">
        <f t="shared" ca="1" si="234"/>
        <v>0</v>
      </c>
      <c r="P287" s="57">
        <f t="shared" ca="1" si="234"/>
        <v>0</v>
      </c>
      <c r="Q287" s="57">
        <f t="shared" ca="1" si="234"/>
        <v>0</v>
      </c>
      <c r="R287" s="57">
        <f t="shared" ca="1" si="234"/>
        <v>0</v>
      </c>
      <c r="S287" s="57">
        <f t="shared" ca="1" si="234"/>
        <v>0</v>
      </c>
      <c r="T287" s="57">
        <f t="shared" ca="1" si="234"/>
        <v>0</v>
      </c>
      <c r="U287" s="57">
        <f t="shared" ca="1" si="234"/>
        <v>0</v>
      </c>
      <c r="V287" s="57">
        <f t="shared" ca="1" si="234"/>
        <v>0</v>
      </c>
    </row>
    <row r="288" spans="2:22" ht="13.5" customHeight="1" outlineLevel="1">
      <c r="B288" s="88" t="s">
        <v>50</v>
      </c>
      <c r="D288" s="64"/>
      <c r="E288" s="509">
        <v>0</v>
      </c>
      <c r="F288" s="57">
        <f t="shared" ref="F288:I288" si="235">E288</f>
        <v>0</v>
      </c>
      <c r="G288" s="57">
        <f t="shared" si="235"/>
        <v>0</v>
      </c>
      <c r="H288" s="57">
        <f t="shared" si="235"/>
        <v>0</v>
      </c>
      <c r="I288" s="57">
        <f t="shared" si="235"/>
        <v>0</v>
      </c>
      <c r="J288" s="113">
        <f t="shared" ref="J288:J289" ca="1" si="236">OFFSET(D288,0,MATCH(J$243,E$243:I$243))</f>
        <v>0</v>
      </c>
      <c r="K288" s="218">
        <f t="shared" ca="1" si="232"/>
        <v>9.5</v>
      </c>
      <c r="L288" s="113">
        <f t="shared" ca="1" si="233"/>
        <v>9.5</v>
      </c>
      <c r="M288" s="217">
        <f ca="1">M786</f>
        <v>10.5875</v>
      </c>
      <c r="N288" s="217">
        <f t="shared" ref="N288:V288" ca="1" si="237">N786</f>
        <v>12.156750000000001</v>
      </c>
      <c r="O288" s="217">
        <f t="shared" ca="1" si="237"/>
        <v>13.89931</v>
      </c>
      <c r="P288" s="217">
        <f t="shared" ca="1" si="237"/>
        <v>14.4772268</v>
      </c>
      <c r="Q288" s="217">
        <f t="shared" ca="1" si="237"/>
        <v>14.5084768</v>
      </c>
      <c r="R288" s="217">
        <f t="shared" ca="1" si="237"/>
        <v>14.5084768</v>
      </c>
      <c r="S288" s="217">
        <f t="shared" ca="1" si="237"/>
        <v>14.5084768</v>
      </c>
      <c r="T288" s="217">
        <f t="shared" ca="1" si="237"/>
        <v>14.5084768</v>
      </c>
      <c r="U288" s="217">
        <f t="shared" ca="1" si="237"/>
        <v>14.5084768</v>
      </c>
      <c r="V288" s="217">
        <f t="shared" ca="1" si="237"/>
        <v>14.5084768</v>
      </c>
    </row>
    <row r="289" spans="1:22" ht="13.5" customHeight="1" outlineLevel="1">
      <c r="B289" s="88" t="s">
        <v>51</v>
      </c>
      <c r="D289" s="64"/>
      <c r="E289" s="509">
        <v>0</v>
      </c>
      <c r="F289" s="57">
        <f t="shared" ref="F289:I289" si="238">E289</f>
        <v>0</v>
      </c>
      <c r="G289" s="57">
        <f t="shared" si="238"/>
        <v>0</v>
      </c>
      <c r="H289" s="57">
        <f t="shared" si="238"/>
        <v>0</v>
      </c>
      <c r="I289" s="57">
        <f t="shared" si="238"/>
        <v>0</v>
      </c>
      <c r="J289" s="113">
        <f t="shared" ca="1" si="236"/>
        <v>0</v>
      </c>
      <c r="K289" s="218">
        <f t="shared" ca="1" si="232"/>
        <v>0</v>
      </c>
      <c r="L289" s="113">
        <f t="shared" ca="1" si="233"/>
        <v>0</v>
      </c>
      <c r="M289" s="217">
        <f ca="1">M815</f>
        <v>0</v>
      </c>
      <c r="N289" s="217">
        <f t="shared" ref="N289:V289" ca="1" si="239">N815</f>
        <v>0</v>
      </c>
      <c r="O289" s="217">
        <f t="shared" ca="1" si="239"/>
        <v>0</v>
      </c>
      <c r="P289" s="217">
        <f t="shared" ca="1" si="239"/>
        <v>0</v>
      </c>
      <c r="Q289" s="217">
        <f t="shared" ca="1" si="239"/>
        <v>0</v>
      </c>
      <c r="R289" s="217">
        <f t="shared" ca="1" si="239"/>
        <v>0</v>
      </c>
      <c r="S289" s="217">
        <f t="shared" ca="1" si="239"/>
        <v>0</v>
      </c>
      <c r="T289" s="217">
        <f t="shared" ca="1" si="239"/>
        <v>0</v>
      </c>
      <c r="U289" s="217">
        <f t="shared" ca="1" si="239"/>
        <v>0</v>
      </c>
      <c r="V289" s="217">
        <f t="shared" ca="1" si="239"/>
        <v>0</v>
      </c>
    </row>
    <row r="290" spans="1:22" ht="13.5" customHeight="1" outlineLevel="1">
      <c r="B290" s="88" t="s">
        <v>600</v>
      </c>
      <c r="D290" s="64"/>
      <c r="E290" s="509">
        <v>12.609</v>
      </c>
      <c r="F290" s="57">
        <f>E290</f>
        <v>12.609</v>
      </c>
      <c r="G290" s="57">
        <f>F290</f>
        <v>12.609</v>
      </c>
      <c r="H290" s="57">
        <f>G290</f>
        <v>12.609</v>
      </c>
      <c r="I290" s="57">
        <f>H290</f>
        <v>12.609</v>
      </c>
      <c r="J290" s="113">
        <f ca="1">OFFSET(D290,0,MATCH(J$243,E$243:I$243))</f>
        <v>12.609</v>
      </c>
      <c r="K290" s="224">
        <f t="shared" ca="1" si="232"/>
        <v>-12.609</v>
      </c>
      <c r="L290" s="113">
        <f t="shared" ca="1" si="233"/>
        <v>0</v>
      </c>
      <c r="M290" s="217">
        <f t="shared" ref="M290:V290" ca="1" si="240">L290</f>
        <v>0</v>
      </c>
      <c r="N290" s="217">
        <f t="shared" ca="1" si="240"/>
        <v>0</v>
      </c>
      <c r="O290" s="217">
        <f t="shared" ca="1" si="240"/>
        <v>0</v>
      </c>
      <c r="P290" s="217">
        <f t="shared" ca="1" si="240"/>
        <v>0</v>
      </c>
      <c r="Q290" s="217">
        <f t="shared" ca="1" si="240"/>
        <v>0</v>
      </c>
      <c r="R290" s="217">
        <f t="shared" ca="1" si="240"/>
        <v>0</v>
      </c>
      <c r="S290" s="217">
        <f t="shared" ca="1" si="240"/>
        <v>0</v>
      </c>
      <c r="T290" s="217">
        <f t="shared" ca="1" si="240"/>
        <v>0</v>
      </c>
      <c r="U290" s="217">
        <f t="shared" ca="1" si="240"/>
        <v>0</v>
      </c>
      <c r="V290" s="217">
        <f t="shared" ca="1" si="240"/>
        <v>0</v>
      </c>
    </row>
    <row r="291" spans="1:22" ht="13.5" customHeight="1" outlineLevel="1">
      <c r="B291" s="88" t="s">
        <v>687</v>
      </c>
      <c r="D291" s="64"/>
      <c r="E291" s="509">
        <v>20.154</v>
      </c>
      <c r="F291" s="57">
        <f>E291+F158</f>
        <v>22.158999999999999</v>
      </c>
      <c r="G291" s="57">
        <f>F291+G158</f>
        <v>25.059000000000005</v>
      </c>
      <c r="H291" s="57">
        <f>G291+H158</f>
        <v>28.159000000000002</v>
      </c>
      <c r="I291" s="57">
        <f>H291+I158</f>
        <v>31.259</v>
      </c>
      <c r="J291" s="113">
        <f ca="1">OFFSET(D291,0,MATCH(J$243,E$243:I$243))</f>
        <v>28.159000000000002</v>
      </c>
      <c r="K291" s="218">
        <f t="shared" ca="1" si="232"/>
        <v>502.36431193147791</v>
      </c>
      <c r="L291" s="113">
        <f t="shared" ca="1" si="233"/>
        <v>530.52331193147791</v>
      </c>
      <c r="M291" s="217">
        <f t="shared" ref="M291:V291" ca="1" si="241">L291+M158</f>
        <v>538.47331193147795</v>
      </c>
      <c r="N291" s="217">
        <f t="shared" ca="1" si="241"/>
        <v>549.173311931478</v>
      </c>
      <c r="O291" s="217">
        <f t="shared" ca="1" si="241"/>
        <v>559.87331193147804</v>
      </c>
      <c r="P291" s="217">
        <f t="shared" ca="1" si="241"/>
        <v>570.66882734061721</v>
      </c>
      <c r="Q291" s="217">
        <f t="shared" ca="1" si="241"/>
        <v>581.56071079379126</v>
      </c>
      <c r="R291" s="217">
        <f t="shared" ca="1" si="241"/>
        <v>592.54982253708931</v>
      </c>
      <c r="S291" s="217">
        <f t="shared" ca="1" si="241"/>
        <v>603.63703049573667</v>
      </c>
      <c r="T291" s="217">
        <f t="shared" ca="1" si="241"/>
        <v>614.82321034264396</v>
      </c>
      <c r="U291" s="217">
        <f t="shared" ca="1" si="241"/>
        <v>626.10924556756834</v>
      </c>
      <c r="V291" s="217">
        <f t="shared" ca="1" si="241"/>
        <v>637.49602754689158</v>
      </c>
    </row>
    <row r="292" spans="1:22" ht="13.5" customHeight="1" outlineLevel="1">
      <c r="B292" s="88" t="s">
        <v>161</v>
      </c>
      <c r="D292" s="64"/>
      <c r="E292" s="509">
        <v>65.09</v>
      </c>
      <c r="F292" s="57">
        <f ca="1">E292+F184-F206*F1162</f>
        <v>72.187921681250003</v>
      </c>
      <c r="G292" s="57">
        <f ca="1">F292+G184-G206*G1162</f>
        <v>79.545842162500008</v>
      </c>
      <c r="H292" s="57">
        <f ca="1">G292+H184-H206*H1162</f>
        <v>87.163761443750005</v>
      </c>
      <c r="I292" s="57">
        <f ca="1">H292+I184-I206*I1162</f>
        <v>95.106679225000008</v>
      </c>
      <c r="J292" s="113">
        <f ca="1">OFFSET(D292,0,MATCH(J$243,E$243:I$243))</f>
        <v>87.163761443750005</v>
      </c>
      <c r="K292" s="218">
        <f t="shared" ca="1" si="232"/>
        <v>-101.89725184687501</v>
      </c>
      <c r="L292" s="113">
        <f t="shared" ca="1" si="233"/>
        <v>-14.733490403124998</v>
      </c>
      <c r="M292" s="57">
        <f t="shared" ref="M292:V292" ca="1" si="242">L292+M184-M206*M1162</f>
        <v>2.4151630792064349</v>
      </c>
      <c r="N292" s="57">
        <f t="shared" ca="1" si="242"/>
        <v>46.388371105721788</v>
      </c>
      <c r="O292" s="57">
        <f t="shared" ca="1" si="242"/>
        <v>93.19612630155801</v>
      </c>
      <c r="P292" s="57">
        <f t="shared" ca="1" si="242"/>
        <v>140.67913548831888</v>
      </c>
      <c r="Q292" s="57">
        <f t="shared" ca="1" si="242"/>
        <v>189.99824856379689</v>
      </c>
      <c r="R292" s="57">
        <f t="shared" ca="1" si="242"/>
        <v>251.58214146005943</v>
      </c>
      <c r="S292" s="57">
        <f t="shared" ca="1" si="242"/>
        <v>320.85251012313853</v>
      </c>
      <c r="T292" s="57">
        <f t="shared" ca="1" si="242"/>
        <v>392.49333018009088</v>
      </c>
      <c r="U292" s="57">
        <f t="shared" ca="1" si="242"/>
        <v>472.62710389588244</v>
      </c>
      <c r="V292" s="57">
        <f t="shared" ca="1" si="242"/>
        <v>553.97788496881867</v>
      </c>
    </row>
    <row r="293" spans="1:22" s="35" customFormat="1" ht="13.5" customHeight="1" outlineLevel="1">
      <c r="B293" s="138" t="s">
        <v>162</v>
      </c>
      <c r="C293" s="52"/>
      <c r="D293" s="165"/>
      <c r="E293" s="165">
        <f t="shared" ref="E293:V293" si="243">SUM(E287:E292)</f>
        <v>97.853000000000009</v>
      </c>
      <c r="F293" s="165">
        <f t="shared" ca="1" si="243"/>
        <v>106.95592168125</v>
      </c>
      <c r="G293" s="165">
        <f t="shared" ca="1" si="243"/>
        <v>117.21384216250001</v>
      </c>
      <c r="H293" s="165">
        <f t="shared" ca="1" si="243"/>
        <v>127.93176144375001</v>
      </c>
      <c r="I293" s="165">
        <f t="shared" ca="1" si="243"/>
        <v>138.97467922500002</v>
      </c>
      <c r="J293" s="165">
        <f t="shared" ca="1" si="243"/>
        <v>127.93176144375001</v>
      </c>
      <c r="K293" s="216">
        <f t="shared" ca="1" si="243"/>
        <v>397.35806008460293</v>
      </c>
      <c r="L293" s="165">
        <f t="shared" ca="1" si="243"/>
        <v>525.28982152835295</v>
      </c>
      <c r="M293" s="165">
        <f t="shared" ca="1" si="243"/>
        <v>551.47597501068435</v>
      </c>
      <c r="N293" s="165">
        <f t="shared" ca="1" si="243"/>
        <v>607.71843303719982</v>
      </c>
      <c r="O293" s="165">
        <f t="shared" ca="1" si="243"/>
        <v>666.96874823303608</v>
      </c>
      <c r="P293" s="165">
        <f t="shared" ca="1" si="243"/>
        <v>725.82518962893619</v>
      </c>
      <c r="Q293" s="165">
        <f t="shared" ca="1" si="243"/>
        <v>786.06743615758819</v>
      </c>
      <c r="R293" s="165">
        <f t="shared" ca="1" si="243"/>
        <v>858.64044079714881</v>
      </c>
      <c r="S293" s="165">
        <f t="shared" ca="1" si="243"/>
        <v>938.99801741887518</v>
      </c>
      <c r="T293" s="165">
        <f t="shared" ca="1" si="243"/>
        <v>1021.8250173227349</v>
      </c>
      <c r="U293" s="165">
        <f t="shared" ca="1" si="243"/>
        <v>1113.2448262634507</v>
      </c>
      <c r="V293" s="165">
        <f t="shared" ca="1" si="243"/>
        <v>1205.9823893157104</v>
      </c>
    </row>
    <row r="294" spans="1:22" s="35" customFormat="1" ht="13.5" customHeight="1" outlineLevel="1">
      <c r="B294" s="228" t="s">
        <v>163</v>
      </c>
      <c r="C294" s="221"/>
      <c r="D294" s="222"/>
      <c r="E294" s="222">
        <f t="shared" ref="E294:V294" ca="1" si="244">E293+E286</f>
        <v>432.11700000000002</v>
      </c>
      <c r="F294" s="222">
        <f t="shared" ca="1" si="244"/>
        <v>443.65584489880035</v>
      </c>
      <c r="G294" s="222">
        <f t="shared" ca="1" si="244"/>
        <v>455.13172698882545</v>
      </c>
      <c r="H294" s="222">
        <f t="shared" ca="1" si="244"/>
        <v>467.06760787885059</v>
      </c>
      <c r="I294" s="222">
        <f t="shared" ca="1" si="244"/>
        <v>479.6764762999544</v>
      </c>
      <c r="J294" s="222">
        <f t="shared" ca="1" si="244"/>
        <v>467.06760787885059</v>
      </c>
      <c r="K294" s="105">
        <f t="shared" ca="1" si="244"/>
        <v>405.6924328957748</v>
      </c>
      <c r="L294" s="222">
        <f t="shared" ca="1" si="244"/>
        <v>872.76004077462528</v>
      </c>
      <c r="M294" s="222">
        <f t="shared" ca="1" si="244"/>
        <v>858.68017033329522</v>
      </c>
      <c r="N294" s="222">
        <f t="shared" ca="1" si="244"/>
        <v>913.111729307421</v>
      </c>
      <c r="O294" s="222">
        <f t="shared" ca="1" si="244"/>
        <v>973.85704124611448</v>
      </c>
      <c r="P294" s="222">
        <f t="shared" ca="1" si="244"/>
        <v>1035.1877671140951</v>
      </c>
      <c r="Q294" s="222">
        <f t="shared" ca="1" si="244"/>
        <v>1096.506789896895</v>
      </c>
      <c r="R294" s="222">
        <f t="shared" ca="1" si="244"/>
        <v>1119.8410168452078</v>
      </c>
      <c r="S294" s="222">
        <f t="shared" ca="1" si="244"/>
        <v>1201.01683973692</v>
      </c>
      <c r="T294" s="222">
        <f t="shared" ca="1" si="244"/>
        <v>1184.8116900992979</v>
      </c>
      <c r="U294" s="222">
        <f t="shared" ca="1" si="244"/>
        <v>1277.2552830270197</v>
      </c>
      <c r="V294" s="222">
        <f t="shared" ca="1" si="244"/>
        <v>1371.025769051929</v>
      </c>
    </row>
    <row r="295" spans="1:22" s="35" customFormat="1" ht="13.5" customHeight="1" outlineLevel="1">
      <c r="K295" s="212"/>
    </row>
    <row r="296" spans="1:22" s="229" customFormat="1" outlineLevel="1">
      <c r="B296" s="230" t="s">
        <v>185</v>
      </c>
      <c r="D296" s="231"/>
      <c r="E296" s="231">
        <f t="shared" ref="E296:V296" ca="1" si="245">E294-E262</f>
        <v>0</v>
      </c>
      <c r="F296" s="231">
        <f t="shared" ca="1" si="245"/>
        <v>0</v>
      </c>
      <c r="G296" s="231">
        <f t="shared" ca="1" si="245"/>
        <v>0</v>
      </c>
      <c r="H296" s="231">
        <f t="shared" ca="1" si="245"/>
        <v>0</v>
      </c>
      <c r="I296" s="231">
        <f t="shared" ca="1" si="245"/>
        <v>0</v>
      </c>
      <c r="J296" s="231">
        <f t="shared" ca="1" si="245"/>
        <v>0</v>
      </c>
      <c r="K296" s="232">
        <f t="shared" ca="1" si="245"/>
        <v>0</v>
      </c>
      <c r="L296" s="231">
        <f t="shared" ca="1" si="245"/>
        <v>0</v>
      </c>
      <c r="M296" s="231">
        <f t="shared" ca="1" si="245"/>
        <v>0</v>
      </c>
      <c r="N296" s="231">
        <f t="shared" ca="1" si="245"/>
        <v>0</v>
      </c>
      <c r="O296" s="231">
        <f t="shared" ca="1" si="245"/>
        <v>0</v>
      </c>
      <c r="P296" s="231">
        <f t="shared" ca="1" si="245"/>
        <v>0</v>
      </c>
      <c r="Q296" s="231">
        <f t="shared" ca="1" si="245"/>
        <v>0</v>
      </c>
      <c r="R296" s="231">
        <f t="shared" ca="1" si="245"/>
        <v>0</v>
      </c>
      <c r="S296" s="231">
        <f t="shared" ca="1" si="245"/>
        <v>0</v>
      </c>
      <c r="T296" s="231">
        <f t="shared" ca="1" si="245"/>
        <v>0</v>
      </c>
      <c r="U296" s="231">
        <f t="shared" ca="1" si="245"/>
        <v>0</v>
      </c>
      <c r="V296" s="231">
        <f t="shared" ca="1" si="245"/>
        <v>0</v>
      </c>
    </row>
    <row r="297" spans="1:22" ht="5.0999999999999996" customHeight="1" outlineLevel="1" thickBot="1">
      <c r="B297" s="152"/>
      <c r="C297" s="152"/>
      <c r="D297" s="233"/>
      <c r="E297" s="233"/>
      <c r="F297" s="234"/>
      <c r="G297" s="234"/>
      <c r="H297" s="234"/>
      <c r="I297" s="234"/>
      <c r="J297" s="233"/>
      <c r="K297" s="234"/>
      <c r="L297" s="233"/>
      <c r="M297" s="234"/>
      <c r="N297" s="234"/>
      <c r="O297" s="234"/>
      <c r="P297" s="234"/>
      <c r="Q297" s="234"/>
      <c r="R297" s="234"/>
      <c r="S297" s="234"/>
      <c r="T297" s="234"/>
      <c r="U297" s="234"/>
      <c r="V297" s="234"/>
    </row>
    <row r="298" spans="1:22" s="35" customFormat="1" outlineLevel="1"/>
    <row r="299" spans="1:22" s="35" customFormat="1" ht="14.7" outlineLevel="1" thickBot="1">
      <c r="F299" s="235"/>
      <c r="G299" s="235"/>
      <c r="H299" s="235"/>
      <c r="I299" s="235"/>
      <c r="M299" s="236"/>
      <c r="N299" s="236"/>
      <c r="O299" s="236"/>
      <c r="P299" s="236"/>
      <c r="Q299" s="236"/>
      <c r="R299" s="236"/>
      <c r="S299" s="236"/>
      <c r="T299" s="236"/>
      <c r="U299" s="236"/>
      <c r="V299" s="236"/>
    </row>
    <row r="300" spans="1:22" s="35" customFormat="1" ht="20.100000000000001" customHeight="1" thickTop="1">
      <c r="A300" s="41" t="s">
        <v>426</v>
      </c>
      <c r="B300" s="42" t="s">
        <v>80</v>
      </c>
      <c r="C300" s="43"/>
      <c r="D300" s="44"/>
      <c r="E300" s="44"/>
      <c r="F300" s="44"/>
      <c r="G300" s="44"/>
      <c r="H300" s="44"/>
      <c r="I300" s="44"/>
      <c r="J300" s="44"/>
      <c r="K300" s="44"/>
      <c r="L300" s="44"/>
      <c r="M300" s="44"/>
      <c r="N300" s="44"/>
      <c r="O300" s="44"/>
      <c r="P300" s="44"/>
      <c r="Q300" s="44"/>
      <c r="R300" s="44"/>
      <c r="S300" s="44"/>
      <c r="T300" s="44"/>
      <c r="U300" s="44"/>
      <c r="V300" s="44"/>
    </row>
    <row r="301" spans="1:22" s="35" customFormat="1" outlineLevel="1">
      <c r="B301" s="45"/>
      <c r="V301" s="155" t="str">
        <f ca="1">err_msg</f>
        <v/>
      </c>
    </row>
    <row r="302" spans="1:22" s="203" customFormat="1" ht="13.5" customHeight="1" outlineLevel="1">
      <c r="E302" s="108"/>
      <c r="F302" s="205" t="s">
        <v>196</v>
      </c>
      <c r="G302" s="205"/>
      <c r="H302" s="205"/>
      <c r="I302" s="205"/>
      <c r="J302" s="108"/>
      <c r="K302" s="108"/>
      <c r="L302" s="108"/>
      <c r="M302" s="126" t="str">
        <f>M$144</f>
        <v>3 Quarters</v>
      </c>
      <c r="N302" s="205" t="str">
        <f>N$144</f>
        <v>Fiscal Years Ending September 30,</v>
      </c>
      <c r="O302" s="237"/>
      <c r="P302" s="237"/>
      <c r="Q302" s="237"/>
      <c r="R302" s="237"/>
      <c r="S302" s="237"/>
      <c r="T302" s="237"/>
      <c r="U302" s="237"/>
      <c r="V302" s="237"/>
    </row>
    <row r="303" spans="1:22" s="203" customFormat="1" outlineLevel="1">
      <c r="E303" s="108"/>
      <c r="F303" s="109" t="str">
        <f>F$145</f>
        <v>MRQ+1</v>
      </c>
      <c r="G303" s="109" t="str">
        <f t="shared" ref="G303:I303" si="246">G$145</f>
        <v>MRQ+2</v>
      </c>
      <c r="H303" s="109" t="str">
        <f t="shared" si="246"/>
        <v>MRQ+3</v>
      </c>
      <c r="I303" s="109" t="str">
        <f t="shared" si="246"/>
        <v>MRQ+4</v>
      </c>
      <c r="J303" s="108"/>
      <c r="K303" s="108"/>
      <c r="L303" s="108"/>
      <c r="M303" s="109" t="str">
        <f t="shared" ref="M303" si="247">M$145</f>
        <v>Ending</v>
      </c>
      <c r="N303" s="109">
        <f>N$145</f>
        <v>2</v>
      </c>
      <c r="O303" s="109">
        <f t="shared" ref="O303:V303" si="248">O$145</f>
        <v>3</v>
      </c>
      <c r="P303" s="109">
        <f t="shared" si="248"/>
        <v>4</v>
      </c>
      <c r="Q303" s="109">
        <f t="shared" si="248"/>
        <v>5</v>
      </c>
      <c r="R303" s="109">
        <f t="shared" si="248"/>
        <v>6</v>
      </c>
      <c r="S303" s="109">
        <f t="shared" si="248"/>
        <v>7</v>
      </c>
      <c r="T303" s="109">
        <f t="shared" si="248"/>
        <v>8</v>
      </c>
      <c r="U303" s="109">
        <f t="shared" si="248"/>
        <v>9</v>
      </c>
      <c r="V303" s="109">
        <f t="shared" si="248"/>
        <v>10</v>
      </c>
    </row>
    <row r="304" spans="1:22" s="203" customFormat="1" ht="13.5" customHeight="1" outlineLevel="1" thickBot="1">
      <c r="B304" s="130" t="s">
        <v>246</v>
      </c>
      <c r="C304" s="208"/>
      <c r="D304" s="208"/>
      <c r="E304" s="210"/>
      <c r="F304" s="209">
        <f>F$146</f>
        <v>45107</v>
      </c>
      <c r="G304" s="209">
        <f t="shared" ref="G304:I304" si="249">G$146</f>
        <v>45199</v>
      </c>
      <c r="H304" s="209">
        <f t="shared" si="249"/>
        <v>45291</v>
      </c>
      <c r="I304" s="209">
        <f t="shared" si="249"/>
        <v>45382</v>
      </c>
      <c r="J304" s="210"/>
      <c r="K304" s="210"/>
      <c r="L304" s="210"/>
      <c r="M304" s="209">
        <f t="shared" ref="M304" si="250">M$146</f>
        <v>45565</v>
      </c>
      <c r="N304" s="211">
        <f>N$146</f>
        <v>45930</v>
      </c>
      <c r="O304" s="211">
        <f t="shared" ref="O304:V304" si="251">O$146</f>
        <v>46295</v>
      </c>
      <c r="P304" s="211">
        <f t="shared" si="251"/>
        <v>46660</v>
      </c>
      <c r="Q304" s="211">
        <f t="shared" si="251"/>
        <v>47026</v>
      </c>
      <c r="R304" s="211">
        <f t="shared" si="251"/>
        <v>47391</v>
      </c>
      <c r="S304" s="211">
        <f t="shared" si="251"/>
        <v>47756</v>
      </c>
      <c r="T304" s="211">
        <f t="shared" si="251"/>
        <v>48121</v>
      </c>
      <c r="U304" s="211">
        <f t="shared" si="251"/>
        <v>48487</v>
      </c>
      <c r="V304" s="211">
        <f t="shared" si="251"/>
        <v>48852</v>
      </c>
    </row>
    <row r="305" spans="2:22" s="35" customFormat="1" ht="5.0999999999999996" customHeight="1" outlineLevel="1">
      <c r="B305" s="38"/>
      <c r="C305" s="38"/>
      <c r="D305" s="38"/>
      <c r="E305" s="38"/>
      <c r="F305" s="38"/>
      <c r="G305" s="38"/>
      <c r="H305" s="38"/>
      <c r="I305" s="38"/>
      <c r="J305" s="38"/>
      <c r="K305" s="38"/>
      <c r="L305" s="38"/>
      <c r="M305" s="38"/>
      <c r="N305" s="38"/>
      <c r="O305" s="38"/>
      <c r="P305" s="38"/>
      <c r="Q305" s="38"/>
      <c r="R305" s="38"/>
      <c r="S305" s="38"/>
      <c r="T305" s="38"/>
      <c r="U305" s="38"/>
      <c r="V305" s="38"/>
    </row>
    <row r="306" spans="2:22" s="35" customFormat="1" ht="13.5" customHeight="1" outlineLevel="1">
      <c r="B306" s="46" t="s">
        <v>81</v>
      </c>
      <c r="C306" s="47"/>
      <c r="D306" s="47"/>
      <c r="E306" s="47"/>
      <c r="F306" s="47"/>
      <c r="G306" s="47"/>
      <c r="H306" s="47"/>
      <c r="I306" s="47"/>
      <c r="J306" s="47"/>
      <c r="K306" s="47"/>
      <c r="L306" s="47"/>
      <c r="M306" s="47"/>
      <c r="N306" s="47"/>
      <c r="O306" s="47"/>
      <c r="P306" s="47"/>
      <c r="Q306" s="47"/>
      <c r="R306" s="47"/>
      <c r="S306" s="47"/>
      <c r="T306" s="47"/>
      <c r="U306" s="47"/>
      <c r="V306" s="48"/>
    </row>
    <row r="307" spans="2:22" s="35" customFormat="1" ht="5.0999999999999996" customHeight="1" outlineLevel="1">
      <c r="B307" s="38"/>
      <c r="C307" s="38"/>
      <c r="D307" s="38"/>
      <c r="E307" s="38"/>
      <c r="F307" s="38"/>
      <c r="G307" s="38"/>
      <c r="H307" s="38"/>
      <c r="I307" s="38"/>
      <c r="J307" s="38"/>
      <c r="K307" s="38"/>
      <c r="L307" s="38"/>
      <c r="M307" s="38"/>
      <c r="N307" s="38"/>
      <c r="O307" s="38"/>
      <c r="P307" s="38"/>
      <c r="Q307" s="38"/>
      <c r="R307" s="38"/>
      <c r="S307" s="38"/>
      <c r="T307" s="38"/>
      <c r="U307" s="38"/>
      <c r="V307" s="38"/>
    </row>
    <row r="308" spans="2:22" s="35" customFormat="1" ht="13.5" customHeight="1" outlineLevel="1">
      <c r="B308" s="38" t="s">
        <v>615</v>
      </c>
      <c r="C308" s="38"/>
      <c r="D308" s="38"/>
      <c r="E308" s="54"/>
      <c r="F308" s="54">
        <f ca="1">F184</f>
        <v>8.8440216812500001</v>
      </c>
      <c r="G308" s="54">
        <f ca="1">G184</f>
        <v>9.1040204812500001</v>
      </c>
      <c r="H308" s="54">
        <f ca="1">H184</f>
        <v>9.36401928125</v>
      </c>
      <c r="I308" s="54">
        <f ca="1">I184</f>
        <v>9.6890177812500013</v>
      </c>
      <c r="J308" s="38"/>
      <c r="K308" s="38"/>
      <c r="L308" s="38"/>
      <c r="M308" s="54">
        <f t="shared" ref="M308:V308" ca="1" si="252">M184</f>
        <v>17.148653482331433</v>
      </c>
      <c r="N308" s="54">
        <f t="shared" ca="1" si="252"/>
        <v>43.973208026515351</v>
      </c>
      <c r="O308" s="54">
        <f t="shared" ca="1" si="252"/>
        <v>46.807755195836222</v>
      </c>
      <c r="P308" s="54">
        <f t="shared" ca="1" si="252"/>
        <v>47.483009186760881</v>
      </c>
      <c r="Q308" s="54">
        <f t="shared" ca="1" si="252"/>
        <v>49.319113075478029</v>
      </c>
      <c r="R308" s="54">
        <f t="shared" ca="1" si="252"/>
        <v>61.583892896262533</v>
      </c>
      <c r="S308" s="54">
        <f t="shared" ca="1" si="252"/>
        <v>69.270368663079111</v>
      </c>
      <c r="T308" s="54">
        <f t="shared" ca="1" si="252"/>
        <v>71.640820056952364</v>
      </c>
      <c r="U308" s="54">
        <f t="shared" ca="1" si="252"/>
        <v>80.133773715791577</v>
      </c>
      <c r="V308" s="54">
        <f t="shared" ca="1" si="252"/>
        <v>81.350781072936172</v>
      </c>
    </row>
    <row r="309" spans="2:22" s="35" customFormat="1" ht="13.5" customHeight="1" outlineLevel="1">
      <c r="B309" s="88" t="s">
        <v>33</v>
      </c>
      <c r="C309" s="38"/>
      <c r="D309" s="38"/>
      <c r="E309" s="57"/>
      <c r="F309" s="57">
        <f>F155</f>
        <v>3.3</v>
      </c>
      <c r="G309" s="57">
        <f>G155</f>
        <v>3.3</v>
      </c>
      <c r="H309" s="57">
        <f>H155</f>
        <v>3.3</v>
      </c>
      <c r="I309" s="57">
        <f>I155</f>
        <v>3.3</v>
      </c>
      <c r="J309" s="38"/>
      <c r="K309" s="38"/>
      <c r="L309" s="38"/>
      <c r="M309" s="57">
        <f t="shared" ref="M309:V309" ca="1" si="253">M155</f>
        <v>12.182142857142857</v>
      </c>
      <c r="N309" s="57">
        <f t="shared" ca="1" si="253"/>
        <v>16.242857142857144</v>
      </c>
      <c r="O309" s="57">
        <f t="shared" ca="1" si="253"/>
        <v>16.24285714285714</v>
      </c>
      <c r="P309" s="57">
        <f t="shared" ca="1" si="253"/>
        <v>16.368723242750868</v>
      </c>
      <c r="Q309" s="57">
        <f t="shared" ca="1" si="253"/>
        <v>16.495712908254703</v>
      </c>
      <c r="R309" s="57">
        <f t="shared" ca="1" si="253"/>
        <v>16.623836169072277</v>
      </c>
      <c r="S309" s="57">
        <f t="shared" ca="1" si="253"/>
        <v>16.753103144439127</v>
      </c>
      <c r="T309" s="57">
        <f t="shared" ca="1" si="253"/>
        <v>15.276381186779041</v>
      </c>
      <c r="U309" s="57">
        <f t="shared" ca="1" si="253"/>
        <v>14.872252025367564</v>
      </c>
      <c r="V309" s="57">
        <f t="shared" ca="1" si="253"/>
        <v>15.00501176714555</v>
      </c>
    </row>
    <row r="310" spans="2:22" s="35" customFormat="1" ht="13.5" customHeight="1" outlineLevel="1">
      <c r="B310" s="88" t="s">
        <v>169</v>
      </c>
      <c r="C310" s="38"/>
      <c r="D310" s="38"/>
      <c r="E310" s="57"/>
      <c r="F310" s="57">
        <f>F157</f>
        <v>4.5</v>
      </c>
      <c r="G310" s="57">
        <f>G157</f>
        <v>4.5</v>
      </c>
      <c r="H310" s="57">
        <f>H157</f>
        <v>4.5</v>
      </c>
      <c r="I310" s="57">
        <f>I157</f>
        <v>4.5</v>
      </c>
      <c r="J310" s="38"/>
      <c r="K310" s="38"/>
      <c r="L310" s="38"/>
      <c r="M310" s="57">
        <f t="shared" ref="M310:V310" ca="1" si="254">M157</f>
        <v>31.343302633359372</v>
      </c>
      <c r="N310" s="57">
        <f t="shared" ca="1" si="254"/>
        <v>41.891070177812495</v>
      </c>
      <c r="O310" s="57">
        <f t="shared" ca="1" si="254"/>
        <v>41.891070177812495</v>
      </c>
      <c r="P310" s="57">
        <f t="shared" ca="1" si="254"/>
        <v>42.069603652839064</v>
      </c>
      <c r="Q310" s="57">
        <f t="shared" ca="1" si="254"/>
        <v>42.249730837950878</v>
      </c>
      <c r="R310" s="57">
        <f t="shared" ca="1" si="254"/>
        <v>26.013163326318569</v>
      </c>
      <c r="S310" s="57">
        <f t="shared" ca="1" si="254"/>
        <v>20.723753193733309</v>
      </c>
      <c r="T310" s="57">
        <f t="shared" ca="1" si="254"/>
        <v>20.908747377396814</v>
      </c>
      <c r="U310" s="57">
        <f t="shared" ca="1" si="254"/>
        <v>21.095392943783779</v>
      </c>
      <c r="V310" s="57">
        <f t="shared" ca="1" si="254"/>
        <v>21.283704634249009</v>
      </c>
    </row>
    <row r="311" spans="2:22" s="35" customFormat="1" ht="13.5" customHeight="1" outlineLevel="1">
      <c r="B311" s="88" t="s">
        <v>146</v>
      </c>
      <c r="C311" s="38"/>
      <c r="D311" s="38"/>
      <c r="E311" s="103"/>
      <c r="F311" s="509">
        <v>0</v>
      </c>
      <c r="G311" s="57">
        <f>F311</f>
        <v>0</v>
      </c>
      <c r="H311" s="57">
        <f t="shared" ref="H311:I315" si="255">G311</f>
        <v>0</v>
      </c>
      <c r="I311" s="57">
        <f t="shared" si="255"/>
        <v>0</v>
      </c>
      <c r="J311" s="38"/>
      <c r="K311" s="38"/>
      <c r="L311" s="38"/>
      <c r="M311" s="57">
        <f t="shared" ref="M311:V311" ca="1" si="256">M173</f>
        <v>0.81428571428571439</v>
      </c>
      <c r="N311" s="57">
        <f t="shared" ca="1" si="256"/>
        <v>1.0857142857142856</v>
      </c>
      <c r="O311" s="57">
        <f t="shared" ca="1" si="256"/>
        <v>1.0857142857142856</v>
      </c>
      <c r="P311" s="57">
        <f t="shared" ca="1" si="256"/>
        <v>1.0857142857142856</v>
      </c>
      <c r="Q311" s="57">
        <f t="shared" ca="1" si="256"/>
        <v>1.0857142857142856</v>
      </c>
      <c r="R311" s="57">
        <f t="shared" ca="1" si="256"/>
        <v>0.67321428571428565</v>
      </c>
      <c r="S311" s="57">
        <f t="shared" ca="1" si="256"/>
        <v>0.5357142857142857</v>
      </c>
      <c r="T311" s="57">
        <f t="shared" ca="1" si="256"/>
        <v>0.13392857142857162</v>
      </c>
      <c r="U311" s="57">
        <f t="shared" ca="1" si="256"/>
        <v>0</v>
      </c>
      <c r="V311" s="57">
        <f t="shared" ca="1" si="256"/>
        <v>0</v>
      </c>
    </row>
    <row r="312" spans="2:22" s="35" customFormat="1" ht="13.5" customHeight="1" outlineLevel="1">
      <c r="B312" s="88" t="s">
        <v>148</v>
      </c>
      <c r="C312" s="38"/>
      <c r="D312" s="38"/>
      <c r="E312" s="57"/>
      <c r="F312" s="57">
        <f>F158</f>
        <v>2.004999999999999</v>
      </c>
      <c r="G312" s="57">
        <f>G158</f>
        <v>2.9000000000000057</v>
      </c>
      <c r="H312" s="57">
        <f>H158</f>
        <v>3.0999999999999979</v>
      </c>
      <c r="I312" s="57">
        <f>I158</f>
        <v>3.0999999999999979</v>
      </c>
      <c r="J312" s="38"/>
      <c r="K312" s="38"/>
      <c r="L312" s="38"/>
      <c r="M312" s="57">
        <f t="shared" ref="M312:V312" ca="1" si="257">M158</f>
        <v>7.95</v>
      </c>
      <c r="N312" s="57">
        <f t="shared" ca="1" si="257"/>
        <v>10.7</v>
      </c>
      <c r="O312" s="57">
        <f t="shared" ca="1" si="257"/>
        <v>10.699999999999998</v>
      </c>
      <c r="P312" s="57">
        <f t="shared" ca="1" si="257"/>
        <v>10.79551540913921</v>
      </c>
      <c r="Q312" s="57">
        <f t="shared" ca="1" si="257"/>
        <v>10.891883453174033</v>
      </c>
      <c r="R312" s="57">
        <f t="shared" ca="1" si="257"/>
        <v>10.989111743298009</v>
      </c>
      <c r="S312" s="57">
        <f t="shared" ca="1" si="257"/>
        <v>11.087207958647321</v>
      </c>
      <c r="T312" s="57">
        <f t="shared" ca="1" si="257"/>
        <v>11.186179846907295</v>
      </c>
      <c r="U312" s="57">
        <f t="shared" ca="1" si="257"/>
        <v>11.286035224924321</v>
      </c>
      <c r="V312" s="57">
        <f t="shared" ca="1" si="257"/>
        <v>11.386781979323219</v>
      </c>
    </row>
    <row r="313" spans="2:22" s="35" customFormat="1" ht="13.5" customHeight="1" outlineLevel="1">
      <c r="B313" s="88" t="s">
        <v>428</v>
      </c>
      <c r="C313" s="38"/>
      <c r="D313" s="38"/>
      <c r="E313" s="57"/>
      <c r="F313" s="57">
        <f>-F410</f>
        <v>0</v>
      </c>
      <c r="G313" s="57">
        <f t="shared" ref="G313:I313" si="258">-G410</f>
        <v>0</v>
      </c>
      <c r="H313" s="57">
        <f t="shared" si="258"/>
        <v>0</v>
      </c>
      <c r="I313" s="57">
        <f t="shared" si="258"/>
        <v>0</v>
      </c>
      <c r="J313" s="38"/>
      <c r="K313" s="38"/>
      <c r="L313" s="38"/>
      <c r="M313" s="57">
        <f t="shared" ref="M313:V313" si="259">-M410</f>
        <v>0</v>
      </c>
      <c r="N313" s="57">
        <f>-N410</f>
        <v>0</v>
      </c>
      <c r="O313" s="57">
        <f t="shared" si="259"/>
        <v>0</v>
      </c>
      <c r="P313" s="57">
        <f t="shared" si="259"/>
        <v>0</v>
      </c>
      <c r="Q313" s="57">
        <f t="shared" si="259"/>
        <v>0</v>
      </c>
      <c r="R313" s="57">
        <f t="shared" si="259"/>
        <v>0</v>
      </c>
      <c r="S313" s="57">
        <f t="shared" si="259"/>
        <v>0</v>
      </c>
      <c r="T313" s="57">
        <f t="shared" si="259"/>
        <v>0</v>
      </c>
      <c r="U313" s="57">
        <f t="shared" si="259"/>
        <v>0</v>
      </c>
      <c r="V313" s="57">
        <f t="shared" si="259"/>
        <v>0</v>
      </c>
    </row>
    <row r="314" spans="2:22" s="35" customFormat="1" ht="13.5" customHeight="1" outlineLevel="1">
      <c r="B314" s="88" t="s">
        <v>436</v>
      </c>
      <c r="C314" s="38"/>
      <c r="D314" s="38"/>
      <c r="E314" s="57"/>
      <c r="F314" s="57">
        <f>-F411</f>
        <v>0</v>
      </c>
      <c r="G314" s="57">
        <f t="shared" ref="G314:I314" si="260">-G411</f>
        <v>0</v>
      </c>
      <c r="H314" s="57">
        <f t="shared" si="260"/>
        <v>0</v>
      </c>
      <c r="I314" s="57">
        <f t="shared" si="260"/>
        <v>0</v>
      </c>
      <c r="J314" s="38"/>
      <c r="K314" s="38"/>
      <c r="L314" s="38"/>
      <c r="M314" s="57">
        <f t="shared" ref="M314:V314" si="261">-M411</f>
        <v>0</v>
      </c>
      <c r="N314" s="57">
        <f t="shared" si="261"/>
        <v>0</v>
      </c>
      <c r="O314" s="57">
        <f t="shared" si="261"/>
        <v>0</v>
      </c>
      <c r="P314" s="57">
        <f t="shared" si="261"/>
        <v>0</v>
      </c>
      <c r="Q314" s="57">
        <f t="shared" si="261"/>
        <v>0</v>
      </c>
      <c r="R314" s="57">
        <f t="shared" si="261"/>
        <v>0</v>
      </c>
      <c r="S314" s="57">
        <f t="shared" si="261"/>
        <v>0</v>
      </c>
      <c r="T314" s="57">
        <f t="shared" si="261"/>
        <v>0</v>
      </c>
      <c r="U314" s="57">
        <f t="shared" si="261"/>
        <v>0</v>
      </c>
      <c r="V314" s="57">
        <f t="shared" si="261"/>
        <v>0</v>
      </c>
    </row>
    <row r="315" spans="2:22" s="35" customFormat="1" ht="13.5" customHeight="1" outlineLevel="1">
      <c r="B315" s="88" t="s">
        <v>354</v>
      </c>
      <c r="C315" s="38"/>
      <c r="D315" s="38"/>
      <c r="E315" s="103"/>
      <c r="F315" s="509">
        <v>0</v>
      </c>
      <c r="G315" s="57">
        <f t="shared" ref="G315" si="262">F315</f>
        <v>0</v>
      </c>
      <c r="H315" s="57">
        <f t="shared" si="255"/>
        <v>0</v>
      </c>
      <c r="I315" s="57">
        <f t="shared" si="255"/>
        <v>0</v>
      </c>
      <c r="J315" s="238"/>
      <c r="K315" s="38"/>
      <c r="L315" s="239"/>
      <c r="M315" s="57">
        <f t="shared" ref="M315:V315" si="263">M831</f>
        <v>1.5</v>
      </c>
      <c r="N315" s="57">
        <f t="shared" ca="1" si="263"/>
        <v>2</v>
      </c>
      <c r="O315" s="57">
        <f t="shared" ca="1" si="263"/>
        <v>2</v>
      </c>
      <c r="P315" s="57">
        <f t="shared" ca="1" si="263"/>
        <v>2</v>
      </c>
      <c r="Q315" s="57">
        <f t="shared" ca="1" si="263"/>
        <v>0.5</v>
      </c>
      <c r="R315" s="57">
        <f t="shared" ca="1" si="263"/>
        <v>0</v>
      </c>
      <c r="S315" s="57">
        <f t="shared" ca="1" si="263"/>
        <v>0</v>
      </c>
      <c r="T315" s="57">
        <f t="shared" ca="1" si="263"/>
        <v>0</v>
      </c>
      <c r="U315" s="57">
        <f t="shared" ca="1" si="263"/>
        <v>0</v>
      </c>
      <c r="V315" s="57">
        <f t="shared" ca="1" si="263"/>
        <v>0</v>
      </c>
    </row>
    <row r="316" spans="2:22" s="35" customFormat="1" ht="13.5" customHeight="1" outlineLevel="1">
      <c r="B316" s="88" t="s">
        <v>358</v>
      </c>
      <c r="C316" s="38"/>
      <c r="D316" s="38"/>
      <c r="E316" s="103"/>
      <c r="F316" s="509">
        <v>0</v>
      </c>
      <c r="G316" s="57">
        <f t="shared" ref="G316" si="264">F316</f>
        <v>0</v>
      </c>
      <c r="H316" s="57">
        <f t="shared" ref="H316" si="265">G316</f>
        <v>0</v>
      </c>
      <c r="I316" s="57">
        <f t="shared" ref="I316" si="266">H316</f>
        <v>0</v>
      </c>
      <c r="J316" s="238"/>
      <c r="K316" s="38"/>
      <c r="L316" s="239"/>
      <c r="M316" s="57">
        <f t="shared" ref="M316:V316" ca="1" si="267">M832</f>
        <v>0</v>
      </c>
      <c r="N316" s="57">
        <f t="shared" ca="1" si="267"/>
        <v>0</v>
      </c>
      <c r="O316" s="57">
        <f t="shared" ca="1" si="267"/>
        <v>0</v>
      </c>
      <c r="P316" s="57">
        <f t="shared" ca="1" si="267"/>
        <v>0</v>
      </c>
      <c r="Q316" s="57">
        <f t="shared" ca="1" si="267"/>
        <v>0</v>
      </c>
      <c r="R316" s="57">
        <f t="shared" ca="1" si="267"/>
        <v>0</v>
      </c>
      <c r="S316" s="57">
        <f t="shared" ca="1" si="267"/>
        <v>0</v>
      </c>
      <c r="T316" s="57">
        <f t="shared" ca="1" si="267"/>
        <v>0</v>
      </c>
      <c r="U316" s="57">
        <f t="shared" ca="1" si="267"/>
        <v>0</v>
      </c>
      <c r="V316" s="57">
        <f t="shared" ca="1" si="267"/>
        <v>0</v>
      </c>
    </row>
    <row r="317" spans="2:22" s="35" customFormat="1" ht="13.5" customHeight="1" outlineLevel="1">
      <c r="B317" s="88" t="str">
        <f t="shared" ref="B317:B323" si="268">"PIK accrual of "&amp;B1305</f>
        <v>PIK accrual of Subordinated note</v>
      </c>
      <c r="C317" s="38"/>
      <c r="D317" s="38"/>
      <c r="E317" s="103"/>
      <c r="F317" s="509">
        <v>0</v>
      </c>
      <c r="G317" s="57">
        <f t="shared" ref="G317:I317" si="269">F317</f>
        <v>0</v>
      </c>
      <c r="H317" s="57">
        <f t="shared" si="269"/>
        <v>0</v>
      </c>
      <c r="I317" s="57">
        <f t="shared" si="269"/>
        <v>0</v>
      </c>
      <c r="J317" s="240"/>
      <c r="K317" s="38"/>
      <c r="L317" s="241"/>
      <c r="M317" s="57">
        <f>M629</f>
        <v>0</v>
      </c>
      <c r="N317" s="57">
        <f t="shared" ref="N317:V317" ca="1" si="270">N629</f>
        <v>0</v>
      </c>
      <c r="O317" s="57">
        <f t="shared" ca="1" si="270"/>
        <v>0</v>
      </c>
      <c r="P317" s="57">
        <f t="shared" ca="1" si="270"/>
        <v>0</v>
      </c>
      <c r="Q317" s="57">
        <f t="shared" ca="1" si="270"/>
        <v>0</v>
      </c>
      <c r="R317" s="57">
        <f t="shared" ca="1" si="270"/>
        <v>0</v>
      </c>
      <c r="S317" s="57">
        <f t="shared" ca="1" si="270"/>
        <v>0</v>
      </c>
      <c r="T317" s="57">
        <f t="shared" ca="1" si="270"/>
        <v>0</v>
      </c>
      <c r="U317" s="57">
        <f t="shared" ca="1" si="270"/>
        <v>0</v>
      </c>
      <c r="V317" s="57">
        <f t="shared" ca="1" si="270"/>
        <v>0</v>
      </c>
    </row>
    <row r="318" spans="2:22" s="35" customFormat="1" ht="13.5" customHeight="1" outlineLevel="1">
      <c r="B318" s="88" t="str">
        <f t="shared" si="268"/>
        <v>PIK accrual of Mezzanine</v>
      </c>
      <c r="C318" s="38"/>
      <c r="D318" s="38"/>
      <c r="E318" s="103"/>
      <c r="F318" s="509">
        <v>0</v>
      </c>
      <c r="G318" s="57">
        <f t="shared" ref="G318:I318" si="271">F318</f>
        <v>0</v>
      </c>
      <c r="H318" s="57">
        <f t="shared" si="271"/>
        <v>0</v>
      </c>
      <c r="I318" s="57">
        <f t="shared" si="271"/>
        <v>0</v>
      </c>
      <c r="J318" s="240"/>
      <c r="K318" s="38"/>
      <c r="L318" s="241"/>
      <c r="M318" s="57">
        <f>M658</f>
        <v>0</v>
      </c>
      <c r="N318" s="57">
        <f t="shared" ref="N318:V318" ca="1" si="272">N658</f>
        <v>0</v>
      </c>
      <c r="O318" s="57">
        <f t="shared" ca="1" si="272"/>
        <v>0</v>
      </c>
      <c r="P318" s="57">
        <f t="shared" ca="1" si="272"/>
        <v>0</v>
      </c>
      <c r="Q318" s="57">
        <f t="shared" ca="1" si="272"/>
        <v>0</v>
      </c>
      <c r="R318" s="57">
        <f t="shared" ca="1" si="272"/>
        <v>0</v>
      </c>
      <c r="S318" s="57">
        <f t="shared" ca="1" si="272"/>
        <v>0</v>
      </c>
      <c r="T318" s="57">
        <f t="shared" ca="1" si="272"/>
        <v>0</v>
      </c>
      <c r="U318" s="57">
        <f t="shared" ca="1" si="272"/>
        <v>0</v>
      </c>
      <c r="V318" s="57">
        <f t="shared" ca="1" si="272"/>
        <v>0</v>
      </c>
    </row>
    <row r="319" spans="2:22" s="35" customFormat="1" ht="13.5" customHeight="1" outlineLevel="1">
      <c r="B319" s="88" t="str">
        <f t="shared" si="268"/>
        <v>PIK accrual of Seller note</v>
      </c>
      <c r="C319" s="38"/>
      <c r="D319" s="38"/>
      <c r="E319" s="103"/>
      <c r="F319" s="509">
        <v>0</v>
      </c>
      <c r="G319" s="57">
        <f t="shared" ref="G319:I319" si="273">F319</f>
        <v>0</v>
      </c>
      <c r="H319" s="57">
        <f t="shared" si="273"/>
        <v>0</v>
      </c>
      <c r="I319" s="57">
        <f t="shared" si="273"/>
        <v>0</v>
      </c>
      <c r="J319" s="240"/>
      <c r="K319" s="38"/>
      <c r="L319" s="241"/>
      <c r="M319" s="57">
        <f>M687</f>
        <v>0</v>
      </c>
      <c r="N319" s="57">
        <f t="shared" ref="N319:V319" ca="1" si="274">N687</f>
        <v>0</v>
      </c>
      <c r="O319" s="57">
        <f t="shared" ca="1" si="274"/>
        <v>0</v>
      </c>
      <c r="P319" s="57">
        <f t="shared" ca="1" si="274"/>
        <v>0</v>
      </c>
      <c r="Q319" s="57">
        <f t="shared" ca="1" si="274"/>
        <v>0</v>
      </c>
      <c r="R319" s="57">
        <f t="shared" ca="1" si="274"/>
        <v>0</v>
      </c>
      <c r="S319" s="57">
        <f t="shared" ca="1" si="274"/>
        <v>0</v>
      </c>
      <c r="T319" s="57">
        <f t="shared" ca="1" si="274"/>
        <v>0</v>
      </c>
      <c r="U319" s="57">
        <f t="shared" ca="1" si="274"/>
        <v>0</v>
      </c>
      <c r="V319" s="57">
        <f t="shared" ca="1" si="274"/>
        <v>0</v>
      </c>
    </row>
    <row r="320" spans="2:22" s="35" customFormat="1" ht="13.5" customHeight="1" outlineLevel="1">
      <c r="B320" s="88" t="str">
        <f t="shared" si="268"/>
        <v>PIK accrual of Convertible bond</v>
      </c>
      <c r="C320" s="38"/>
      <c r="D320" s="38"/>
      <c r="E320" s="103"/>
      <c r="F320" s="509">
        <v>0</v>
      </c>
      <c r="G320" s="57">
        <f t="shared" ref="G320:G321" si="275">F320</f>
        <v>0</v>
      </c>
      <c r="H320" s="57">
        <f t="shared" ref="H320:H321" si="276">G320</f>
        <v>0</v>
      </c>
      <c r="I320" s="57">
        <f t="shared" ref="I320:I321" si="277">H320</f>
        <v>0</v>
      </c>
      <c r="J320" s="240"/>
      <c r="K320" s="38"/>
      <c r="L320" s="241"/>
      <c r="M320" s="57">
        <f>M716</f>
        <v>0</v>
      </c>
      <c r="N320" s="57">
        <f t="shared" ref="N320:V320" ca="1" si="278">N716</f>
        <v>0</v>
      </c>
      <c r="O320" s="57">
        <f t="shared" ca="1" si="278"/>
        <v>0</v>
      </c>
      <c r="P320" s="57">
        <f t="shared" ca="1" si="278"/>
        <v>0</v>
      </c>
      <c r="Q320" s="57">
        <f t="shared" ca="1" si="278"/>
        <v>0</v>
      </c>
      <c r="R320" s="57">
        <f t="shared" ca="1" si="278"/>
        <v>0</v>
      </c>
      <c r="S320" s="57">
        <f t="shared" ca="1" si="278"/>
        <v>0</v>
      </c>
      <c r="T320" s="57">
        <f t="shared" ca="1" si="278"/>
        <v>0</v>
      </c>
      <c r="U320" s="57">
        <f t="shared" ca="1" si="278"/>
        <v>0</v>
      </c>
      <c r="V320" s="57">
        <f t="shared" ca="1" si="278"/>
        <v>0</v>
      </c>
    </row>
    <row r="321" spans="2:22" s="35" customFormat="1" ht="13.5" customHeight="1" outlineLevel="1">
      <c r="B321" s="88" t="str">
        <f t="shared" si="268"/>
        <v>PIK accrual of [Debt 8]</v>
      </c>
      <c r="C321" s="38"/>
      <c r="D321" s="38"/>
      <c r="E321" s="103"/>
      <c r="F321" s="509">
        <v>0</v>
      </c>
      <c r="G321" s="57">
        <f t="shared" si="275"/>
        <v>0</v>
      </c>
      <c r="H321" s="57">
        <f t="shared" si="276"/>
        <v>0</v>
      </c>
      <c r="I321" s="57">
        <f t="shared" si="277"/>
        <v>0</v>
      </c>
      <c r="J321" s="240"/>
      <c r="K321" s="38"/>
      <c r="L321" s="241"/>
      <c r="M321" s="57">
        <f>M745</f>
        <v>0</v>
      </c>
      <c r="N321" s="57">
        <f t="shared" ref="N321:V321" ca="1" si="279">N745</f>
        <v>0</v>
      </c>
      <c r="O321" s="57">
        <f t="shared" ca="1" si="279"/>
        <v>0</v>
      </c>
      <c r="P321" s="57">
        <f t="shared" ca="1" si="279"/>
        <v>0</v>
      </c>
      <c r="Q321" s="57">
        <f t="shared" ca="1" si="279"/>
        <v>0</v>
      </c>
      <c r="R321" s="57">
        <f t="shared" ca="1" si="279"/>
        <v>0</v>
      </c>
      <c r="S321" s="57">
        <f t="shared" ca="1" si="279"/>
        <v>0</v>
      </c>
      <c r="T321" s="57">
        <f t="shared" ca="1" si="279"/>
        <v>0</v>
      </c>
      <c r="U321" s="57">
        <f t="shared" ca="1" si="279"/>
        <v>0</v>
      </c>
      <c r="V321" s="57">
        <f t="shared" ca="1" si="279"/>
        <v>0</v>
      </c>
    </row>
    <row r="322" spans="2:22" s="35" customFormat="1" ht="13.5" customHeight="1" outlineLevel="1">
      <c r="B322" s="88" t="str">
        <f t="shared" si="268"/>
        <v>PIK accrual of Preferred stock - A</v>
      </c>
      <c r="C322" s="38"/>
      <c r="D322" s="38"/>
      <c r="E322" s="103"/>
      <c r="F322" s="509">
        <v>0</v>
      </c>
      <c r="G322" s="57">
        <f t="shared" ref="G322:I322" si="280">F322</f>
        <v>0</v>
      </c>
      <c r="H322" s="57">
        <f t="shared" si="280"/>
        <v>0</v>
      </c>
      <c r="I322" s="57">
        <f t="shared" si="280"/>
        <v>0</v>
      </c>
      <c r="J322" s="242"/>
      <c r="K322" s="38"/>
      <c r="L322" s="241"/>
      <c r="M322" s="57">
        <f>M774</f>
        <v>0.99374999999999991</v>
      </c>
      <c r="N322" s="57">
        <f t="shared" ref="N322:V322" ca="1" si="281">N774</f>
        <v>1.44425</v>
      </c>
      <c r="O322" s="57">
        <f t="shared" ca="1" si="281"/>
        <v>1.6175600000000001</v>
      </c>
      <c r="P322" s="57">
        <f t="shared" ca="1" si="281"/>
        <v>0.45291679999999995</v>
      </c>
      <c r="Q322" s="57">
        <f t="shared" ca="1" si="281"/>
        <v>0</v>
      </c>
      <c r="R322" s="57">
        <f t="shared" ca="1" si="281"/>
        <v>0</v>
      </c>
      <c r="S322" s="57">
        <f t="shared" ca="1" si="281"/>
        <v>0</v>
      </c>
      <c r="T322" s="57">
        <f t="shared" ca="1" si="281"/>
        <v>0</v>
      </c>
      <c r="U322" s="57">
        <f t="shared" ca="1" si="281"/>
        <v>0</v>
      </c>
      <c r="V322" s="57">
        <f t="shared" ca="1" si="281"/>
        <v>0</v>
      </c>
    </row>
    <row r="323" spans="2:22" s="35" customFormat="1" ht="13.5" customHeight="1" outlineLevel="1">
      <c r="B323" s="88" t="str">
        <f t="shared" si="268"/>
        <v>PIK accrual of Preferred stock - B</v>
      </c>
      <c r="C323" s="38"/>
      <c r="D323" s="38"/>
      <c r="E323" s="103"/>
      <c r="F323" s="509">
        <v>0</v>
      </c>
      <c r="G323" s="57">
        <f t="shared" ref="G323:I323" si="282">F323</f>
        <v>0</v>
      </c>
      <c r="H323" s="57">
        <f t="shared" si="282"/>
        <v>0</v>
      </c>
      <c r="I323" s="57">
        <f t="shared" si="282"/>
        <v>0</v>
      </c>
      <c r="J323" s="242"/>
      <c r="K323" s="38"/>
      <c r="L323" s="241"/>
      <c r="M323" s="57">
        <f>M803</f>
        <v>0</v>
      </c>
      <c r="N323" s="57">
        <f t="shared" ref="N323:V323" ca="1" si="283">N803</f>
        <v>0</v>
      </c>
      <c r="O323" s="57">
        <f t="shared" ca="1" si="283"/>
        <v>0</v>
      </c>
      <c r="P323" s="57">
        <f t="shared" ca="1" si="283"/>
        <v>0</v>
      </c>
      <c r="Q323" s="57">
        <f t="shared" ca="1" si="283"/>
        <v>0</v>
      </c>
      <c r="R323" s="57">
        <f t="shared" ca="1" si="283"/>
        <v>0</v>
      </c>
      <c r="S323" s="57">
        <f t="shared" ca="1" si="283"/>
        <v>0</v>
      </c>
      <c r="T323" s="57">
        <f t="shared" ca="1" si="283"/>
        <v>0</v>
      </c>
      <c r="U323" s="57">
        <f t="shared" ca="1" si="283"/>
        <v>0</v>
      </c>
      <c r="V323" s="57">
        <f t="shared" ca="1" si="283"/>
        <v>0</v>
      </c>
    </row>
    <row r="324" spans="2:22" s="35" customFormat="1" ht="13.5" customHeight="1" outlineLevel="1">
      <c r="B324" s="52" t="s">
        <v>170</v>
      </c>
      <c r="C324" s="52"/>
      <c r="D324" s="52"/>
      <c r="E324" s="87"/>
      <c r="F324" s="87">
        <f ca="1">SUM(F309:OFFSET(F324,-1,0))</f>
        <v>9.8049999999999997</v>
      </c>
      <c r="G324" s="87">
        <f ca="1">SUM(G309:OFFSET(G324,-1,0))</f>
        <v>10.700000000000006</v>
      </c>
      <c r="H324" s="87">
        <f ca="1">SUM(H309:OFFSET(H324,-1,0))</f>
        <v>10.899999999999999</v>
      </c>
      <c r="I324" s="87">
        <f ca="1">SUM(I309:OFFSET(I324,-1,0))</f>
        <v>10.899999999999999</v>
      </c>
      <c r="J324" s="52"/>
      <c r="K324" s="52"/>
      <c r="L324" s="52"/>
      <c r="M324" s="87">
        <f ca="1">SUM(M309:OFFSET(M324,-1,0))</f>
        <v>54.783481204787947</v>
      </c>
      <c r="N324" s="87">
        <f ca="1">SUM(N309:OFFSET(N324,-1,0))</f>
        <v>73.36389160638393</v>
      </c>
      <c r="O324" s="87">
        <f ca="1">SUM(O309:OFFSET(O324,-1,0))</f>
        <v>73.537201606383917</v>
      </c>
      <c r="P324" s="87">
        <f ca="1">SUM(P309:OFFSET(P324,-1,0))</f>
        <v>72.772473390443423</v>
      </c>
      <c r="Q324" s="87">
        <f ca="1">SUM(Q309:OFFSET(Q324,-1,0))</f>
        <v>71.223041485093901</v>
      </c>
      <c r="R324" s="87">
        <f ca="1">SUM(R309:OFFSET(R324,-1,0))</f>
        <v>54.299325524403145</v>
      </c>
      <c r="S324" s="87">
        <f ca="1">SUM(S309:OFFSET(S324,-1,0))</f>
        <v>49.099778582534043</v>
      </c>
      <c r="T324" s="87">
        <f ca="1">SUM(T309:OFFSET(T324,-1,0))</f>
        <v>47.505236982511718</v>
      </c>
      <c r="U324" s="87">
        <f ca="1">SUM(U309:OFFSET(U324,-1,0))</f>
        <v>47.253680194075663</v>
      </c>
      <c r="V324" s="87">
        <f ca="1">SUM(V309:OFFSET(V324,-1,0))</f>
        <v>47.675498380717777</v>
      </c>
    </row>
    <row r="325" spans="2:22" s="35" customFormat="1" ht="13.5" customHeight="1" outlineLevel="1">
      <c r="B325" s="88" t="s">
        <v>171</v>
      </c>
      <c r="C325" s="38"/>
      <c r="D325" s="38"/>
      <c r="E325" s="57"/>
      <c r="F325" s="57">
        <f>E378-F378</f>
        <v>0.12508468780036708</v>
      </c>
      <c r="G325" s="57">
        <f>F378-G378</f>
        <v>-1.7144635370744936</v>
      </c>
      <c r="H325" s="57">
        <f>G378-H378</f>
        <v>-0.73510847615600028</v>
      </c>
      <c r="I325" s="57">
        <f>H378-I378</f>
        <v>-0.78675320612218513</v>
      </c>
      <c r="J325" s="38"/>
      <c r="K325" s="38"/>
      <c r="L325" s="38"/>
      <c r="M325" s="57">
        <f t="shared" ref="M325:V325" ca="1" si="284">L378-M378</f>
        <v>1.9555124741068397</v>
      </c>
      <c r="N325" s="57">
        <f t="shared" ca="1" si="284"/>
        <v>-3.7902037907200992</v>
      </c>
      <c r="O325" s="57">
        <f t="shared" ca="1" si="284"/>
        <v>-1.293487816307362</v>
      </c>
      <c r="P325" s="57">
        <f t="shared" ca="1" si="284"/>
        <v>-0.41035585590583423</v>
      </c>
      <c r="Q325" s="57">
        <f t="shared" ca="1" si="284"/>
        <v>-0.4140189687534388</v>
      </c>
      <c r="R325" s="57">
        <f t="shared" ca="1" si="284"/>
        <v>-0.41771478101429693</v>
      </c>
      <c r="S325" s="57">
        <f t="shared" ca="1" si="284"/>
        <v>-0.42144358458560305</v>
      </c>
      <c r="T325" s="57">
        <f t="shared" ca="1" si="284"/>
        <v>-0.4252056739697565</v>
      </c>
      <c r="U325" s="57">
        <f t="shared" ca="1" si="284"/>
        <v>-0.42900134629849163</v>
      </c>
      <c r="V325" s="57">
        <f t="shared" ca="1" si="284"/>
        <v>-0.43283090135578561</v>
      </c>
    </row>
    <row r="326" spans="2:22" s="35" customFormat="1" ht="13.5" customHeight="1" outlineLevel="1">
      <c r="B326" s="88" t="s">
        <v>460</v>
      </c>
      <c r="C326" s="38"/>
      <c r="D326" s="38"/>
      <c r="E326" s="38"/>
      <c r="F326" s="83">
        <f ca="1">F284-E284</f>
        <v>0</v>
      </c>
      <c r="G326" s="83">
        <f ca="1">G284-F284</f>
        <v>0</v>
      </c>
      <c r="H326" s="83">
        <f ca="1">H284-G284</f>
        <v>0</v>
      </c>
      <c r="I326" s="83">
        <f ca="1">I284-H284</f>
        <v>0</v>
      </c>
      <c r="J326" s="38"/>
      <c r="K326" s="38"/>
      <c r="L326" s="38"/>
      <c r="M326" s="83">
        <f t="shared" ref="M326:V326" ca="1" si="285">M284-L284</f>
        <v>-0.2850024428571416</v>
      </c>
      <c r="N326" s="83">
        <f t="shared" ca="1" si="285"/>
        <v>-0.380003257142846</v>
      </c>
      <c r="O326" s="83">
        <f t="shared" ca="1" si="285"/>
        <v>-0.3800032571428531</v>
      </c>
      <c r="P326" s="83">
        <f t="shared" ca="1" si="285"/>
        <v>-0.380003257142846</v>
      </c>
      <c r="Q326" s="83">
        <f t="shared" ca="1" si="285"/>
        <v>-0.38000325714286021</v>
      </c>
      <c r="R326" s="83">
        <f t="shared" ca="1" si="285"/>
        <v>-0.23562701964285537</v>
      </c>
      <c r="S326" s="83">
        <f t="shared" ca="1" si="285"/>
        <v>-0.18750160714284902</v>
      </c>
      <c r="T326" s="83">
        <f t="shared" ca="1" si="285"/>
        <v>-4.6875401785712256E-2</v>
      </c>
      <c r="U326" s="83">
        <f t="shared" ca="1" si="285"/>
        <v>0</v>
      </c>
      <c r="V326" s="83">
        <f t="shared" ca="1" si="285"/>
        <v>0</v>
      </c>
    </row>
    <row r="327" spans="2:22" s="35" customFormat="1" ht="13.5" customHeight="1" outlineLevel="1">
      <c r="B327" s="88" t="s">
        <v>464</v>
      </c>
      <c r="C327" s="38"/>
      <c r="D327" s="38"/>
      <c r="E327" s="38"/>
      <c r="F327" s="83">
        <f>E261-F261</f>
        <v>0</v>
      </c>
      <c r="G327" s="83">
        <f>F261-G261</f>
        <v>0</v>
      </c>
      <c r="H327" s="83">
        <f>G261-H261</f>
        <v>0</v>
      </c>
      <c r="I327" s="83">
        <f>H261-I261</f>
        <v>0</v>
      </c>
      <c r="J327" s="38"/>
      <c r="K327" s="38"/>
      <c r="L327" s="38"/>
      <c r="M327" s="83">
        <f t="shared" ref="M327:V327" ca="1" si="286">L261-M261</f>
        <v>0</v>
      </c>
      <c r="N327" s="83">
        <f t="shared" ca="1" si="286"/>
        <v>0</v>
      </c>
      <c r="O327" s="83">
        <f t="shared" ca="1" si="286"/>
        <v>0</v>
      </c>
      <c r="P327" s="83">
        <f t="shared" ca="1" si="286"/>
        <v>0</v>
      </c>
      <c r="Q327" s="83">
        <f t="shared" ca="1" si="286"/>
        <v>0</v>
      </c>
      <c r="R327" s="83">
        <f t="shared" ca="1" si="286"/>
        <v>0</v>
      </c>
      <c r="S327" s="83">
        <f t="shared" ca="1" si="286"/>
        <v>0</v>
      </c>
      <c r="T327" s="83">
        <f t="shared" ca="1" si="286"/>
        <v>0</v>
      </c>
      <c r="U327" s="83">
        <f t="shared" ca="1" si="286"/>
        <v>0</v>
      </c>
      <c r="V327" s="83">
        <f t="shared" ca="1" si="286"/>
        <v>0</v>
      </c>
    </row>
    <row r="328" spans="2:22" s="35" customFormat="1" ht="13.5" customHeight="1" outlineLevel="1">
      <c r="B328" s="88" t="s">
        <v>465</v>
      </c>
      <c r="C328" s="38"/>
      <c r="D328" s="38"/>
      <c r="E328" s="57"/>
      <c r="F328" s="57">
        <f>F285-E285</f>
        <v>0</v>
      </c>
      <c r="G328" s="57">
        <f>G285-F285</f>
        <v>0</v>
      </c>
      <c r="H328" s="57">
        <f>H285-G285</f>
        <v>0</v>
      </c>
      <c r="I328" s="57">
        <f>I285-H285</f>
        <v>0</v>
      </c>
      <c r="J328" s="38"/>
      <c r="K328" s="38"/>
      <c r="L328" s="38"/>
      <c r="M328" s="57">
        <f t="shared" ref="M328:V328" ca="1" si="287">M285-L285</f>
        <v>0</v>
      </c>
      <c r="N328" s="57">
        <f t="shared" ca="1" si="287"/>
        <v>0</v>
      </c>
      <c r="O328" s="57">
        <f t="shared" ca="1" si="287"/>
        <v>0</v>
      </c>
      <c r="P328" s="57">
        <f t="shared" ca="1" si="287"/>
        <v>0</v>
      </c>
      <c r="Q328" s="57">
        <f t="shared" ca="1" si="287"/>
        <v>0</v>
      </c>
      <c r="R328" s="57">
        <f t="shared" ca="1" si="287"/>
        <v>0</v>
      </c>
      <c r="S328" s="57">
        <f t="shared" ca="1" si="287"/>
        <v>0</v>
      </c>
      <c r="T328" s="57">
        <f t="shared" ca="1" si="287"/>
        <v>0</v>
      </c>
      <c r="U328" s="57">
        <f t="shared" ca="1" si="287"/>
        <v>0</v>
      </c>
      <c r="V328" s="57">
        <f t="shared" ca="1" si="287"/>
        <v>0</v>
      </c>
    </row>
    <row r="329" spans="2:22" s="35" customFormat="1" ht="13.5" customHeight="1" outlineLevel="1">
      <c r="B329" s="243" t="s">
        <v>172</v>
      </c>
      <c r="C329" s="243"/>
      <c r="D329" s="243"/>
      <c r="E329" s="244"/>
      <c r="F329" s="244">
        <f ca="1">SUM(F325:OFFSET(F329,-1,0))</f>
        <v>0.12508468780036708</v>
      </c>
      <c r="G329" s="244">
        <f ca="1">SUM(G325:OFFSET(G329,-1,0))</f>
        <v>-1.7144635370744936</v>
      </c>
      <c r="H329" s="244">
        <f ca="1">SUM(H325:OFFSET(H329,-1,0))</f>
        <v>-0.73510847615600028</v>
      </c>
      <c r="I329" s="244">
        <f ca="1">SUM(I325:OFFSET(I329,-1,0))</f>
        <v>-0.78675320612218513</v>
      </c>
      <c r="J329" s="243"/>
      <c r="K329" s="243"/>
      <c r="L329" s="243"/>
      <c r="M329" s="244">
        <f ca="1">SUM(M325:OFFSET(M329,-1,0))</f>
        <v>1.6705100312496981</v>
      </c>
      <c r="N329" s="244">
        <f ca="1">SUM(N325:OFFSET(N329,-1,0))</f>
        <v>-4.1702070478629452</v>
      </c>
      <c r="O329" s="244">
        <f ca="1">SUM(O325:OFFSET(O329,-1,0))</f>
        <v>-1.6734910734502151</v>
      </c>
      <c r="P329" s="244">
        <f ca="1">SUM(P325:OFFSET(P329,-1,0))</f>
        <v>-0.79035911304868023</v>
      </c>
      <c r="Q329" s="244">
        <f ca="1">SUM(Q325:OFFSET(Q329,-1,0))</f>
        <v>-0.79402222589629901</v>
      </c>
      <c r="R329" s="244">
        <f ca="1">SUM(R325:OFFSET(R329,-1,0))</f>
        <v>-0.65334180065715231</v>
      </c>
      <c r="S329" s="244">
        <f ca="1">SUM(S325:OFFSET(S329,-1,0))</f>
        <v>-0.60894519172845207</v>
      </c>
      <c r="T329" s="244">
        <f ca="1">SUM(T325:OFFSET(T329,-1,0))</f>
        <v>-0.47208107575546876</v>
      </c>
      <c r="U329" s="244">
        <f ca="1">SUM(U325:OFFSET(U329,-1,0))</f>
        <v>-0.42900134629849163</v>
      </c>
      <c r="V329" s="244">
        <f ca="1">SUM(V325:OFFSET(V329,-1,0))</f>
        <v>-0.43283090135578561</v>
      </c>
    </row>
    <row r="330" spans="2:22" s="35" customFormat="1" ht="13.5" customHeight="1" outlineLevel="1">
      <c r="B330" s="104" t="s">
        <v>173</v>
      </c>
      <c r="C330" s="104"/>
      <c r="D330" s="104"/>
      <c r="E330" s="105"/>
      <c r="F330" s="105">
        <f ca="1">F308+F324+F329</f>
        <v>18.774106369050365</v>
      </c>
      <c r="G330" s="105">
        <f ca="1">G308+G324+G329</f>
        <v>18.089556944175513</v>
      </c>
      <c r="H330" s="105">
        <f ca="1">H308+H324+H329</f>
        <v>19.528910805094</v>
      </c>
      <c r="I330" s="105">
        <f ca="1">I308+I324+I329</f>
        <v>19.802264575127815</v>
      </c>
      <c r="J330" s="105"/>
      <c r="K330" s="245"/>
      <c r="L330" s="105"/>
      <c r="M330" s="105">
        <f t="shared" ref="M330:V330" ca="1" si="288">M308+M324+M329</f>
        <v>73.602644718369078</v>
      </c>
      <c r="N330" s="105">
        <f t="shared" ca="1" si="288"/>
        <v>113.16689258503634</v>
      </c>
      <c r="O330" s="105">
        <f t="shared" ca="1" si="288"/>
        <v>118.67146572876993</v>
      </c>
      <c r="P330" s="105">
        <f t="shared" ca="1" si="288"/>
        <v>119.46512346415562</v>
      </c>
      <c r="Q330" s="105">
        <f t="shared" ca="1" si="288"/>
        <v>119.74813233467563</v>
      </c>
      <c r="R330" s="105">
        <f t="shared" ca="1" si="288"/>
        <v>115.22987662000853</v>
      </c>
      <c r="S330" s="105">
        <f t="shared" ca="1" si="288"/>
        <v>117.7612020538847</v>
      </c>
      <c r="T330" s="105">
        <f t="shared" ca="1" si="288"/>
        <v>118.67397596370861</v>
      </c>
      <c r="U330" s="105">
        <f t="shared" ca="1" si="288"/>
        <v>126.95845256356876</v>
      </c>
      <c r="V330" s="105">
        <f t="shared" ca="1" si="288"/>
        <v>128.59344855229818</v>
      </c>
    </row>
    <row r="331" spans="2:22" s="35" customFormat="1" ht="13.5" customHeight="1" outlineLevel="1">
      <c r="B331" s="38"/>
      <c r="C331" s="38"/>
      <c r="D331" s="38"/>
      <c r="E331" s="38"/>
      <c r="F331" s="246"/>
      <c r="G331" s="38"/>
      <c r="H331" s="38"/>
      <c r="I331" s="38"/>
      <c r="J331" s="38"/>
      <c r="K331" s="38"/>
      <c r="L331" s="38"/>
      <c r="M331" s="38"/>
      <c r="N331" s="38"/>
      <c r="O331" s="38"/>
      <c r="P331" s="38"/>
      <c r="Q331" s="38"/>
      <c r="R331" s="38"/>
      <c r="S331" s="38"/>
      <c r="T331" s="38"/>
      <c r="U331" s="38"/>
      <c r="V331" s="38"/>
    </row>
    <row r="332" spans="2:22" s="35" customFormat="1" ht="13.5" customHeight="1" outlineLevel="1">
      <c r="B332" s="46" t="s">
        <v>82</v>
      </c>
      <c r="C332" s="47"/>
      <c r="D332" s="47"/>
      <c r="E332" s="47"/>
      <c r="F332" s="47"/>
      <c r="G332" s="47"/>
      <c r="H332" s="47"/>
      <c r="I332" s="47"/>
      <c r="J332" s="47"/>
      <c r="K332" s="47"/>
      <c r="L332" s="47"/>
      <c r="M332" s="47"/>
      <c r="N332" s="47"/>
      <c r="O332" s="47"/>
      <c r="P332" s="47"/>
      <c r="Q332" s="47"/>
      <c r="R332" s="47"/>
      <c r="S332" s="47"/>
      <c r="T332" s="47"/>
      <c r="U332" s="47"/>
      <c r="V332" s="48"/>
    </row>
    <row r="333" spans="2:22" s="35" customFormat="1" ht="5.0999999999999996" customHeight="1" outlineLevel="1">
      <c r="B333" s="38"/>
      <c r="C333" s="38"/>
      <c r="D333" s="38"/>
      <c r="E333" s="38"/>
      <c r="F333" s="38"/>
      <c r="G333" s="38"/>
      <c r="H333" s="38"/>
      <c r="I333" s="38"/>
      <c r="J333" s="38"/>
      <c r="K333" s="38"/>
      <c r="L333" s="38"/>
      <c r="M333" s="38"/>
      <c r="N333" s="38"/>
      <c r="O333" s="38"/>
      <c r="P333" s="38"/>
      <c r="Q333" s="38"/>
      <c r="R333" s="38"/>
      <c r="S333" s="38"/>
      <c r="T333" s="38"/>
      <c r="U333" s="38"/>
      <c r="V333" s="38"/>
    </row>
    <row r="334" spans="2:22" s="35" customFormat="1" ht="13.5" customHeight="1" outlineLevel="1">
      <c r="B334" s="38" t="s">
        <v>174</v>
      </c>
      <c r="C334" s="38"/>
      <c r="D334" s="38"/>
      <c r="E334" s="84"/>
      <c r="F334" s="84">
        <f>-F205</f>
        <v>-5.1267572633552021</v>
      </c>
      <c r="G334" s="84">
        <f>-G205</f>
        <v>-5.1874414245548266</v>
      </c>
      <c r="H334" s="84">
        <f>-H205</f>
        <v>-5.2577319587628866</v>
      </c>
      <c r="I334" s="84">
        <f>-I205</f>
        <v>-5.3420805998125589</v>
      </c>
      <c r="J334" s="38"/>
      <c r="K334" s="38"/>
      <c r="L334" s="38"/>
      <c r="M334" s="84">
        <f t="shared" ref="M334:V334" ca="1" si="289">-M205</f>
        <v>-12.750000000000002</v>
      </c>
      <c r="N334" s="84">
        <f t="shared" ca="1" si="289"/>
        <v>-18</v>
      </c>
      <c r="O334" s="84">
        <f t="shared" ca="1" si="289"/>
        <v>-18.999999999999996</v>
      </c>
      <c r="P334" s="84">
        <f t="shared" ca="1" si="289"/>
        <v>-19.169606801275233</v>
      </c>
      <c r="Q334" s="84">
        <f t="shared" ca="1" si="289"/>
        <v>-19.340727627131464</v>
      </c>
      <c r="R334" s="84">
        <f t="shared" ca="1" si="289"/>
        <v>-19.513375992772165</v>
      </c>
      <c r="S334" s="84">
        <f t="shared" ca="1" si="289"/>
        <v>-19.687565534046644</v>
      </c>
      <c r="T334" s="84">
        <f t="shared" ca="1" si="289"/>
        <v>-19.863310008526977</v>
      </c>
      <c r="U334" s="84">
        <f t="shared" ca="1" si="289"/>
        <v>-20.040623296594589</v>
      </c>
      <c r="V334" s="84">
        <f t="shared" ca="1" si="289"/>
        <v>-20.219519402536559</v>
      </c>
    </row>
    <row r="335" spans="2:22" s="35" customFormat="1" ht="13.5" customHeight="1" outlineLevel="1">
      <c r="B335" s="38" t="s">
        <v>175</v>
      </c>
      <c r="C335" s="38"/>
      <c r="D335" s="38"/>
      <c r="E335" s="103"/>
      <c r="F335" s="509">
        <v>0</v>
      </c>
      <c r="G335" s="57">
        <f t="shared" ref="G335:I335" si="290">F335</f>
        <v>0</v>
      </c>
      <c r="H335" s="57">
        <f t="shared" si="290"/>
        <v>0</v>
      </c>
      <c r="I335" s="57">
        <f t="shared" si="290"/>
        <v>0</v>
      </c>
      <c r="J335" s="38"/>
      <c r="K335" s="38"/>
      <c r="L335" s="38"/>
      <c r="M335" s="509">
        <v>0</v>
      </c>
      <c r="N335" s="509">
        <v>0</v>
      </c>
      <c r="O335" s="509">
        <v>0</v>
      </c>
      <c r="P335" s="509">
        <v>0</v>
      </c>
      <c r="Q335" s="509">
        <v>0</v>
      </c>
      <c r="R335" s="509">
        <v>0</v>
      </c>
      <c r="S335" s="509">
        <v>0</v>
      </c>
      <c r="T335" s="509">
        <v>0</v>
      </c>
      <c r="U335" s="509">
        <v>0</v>
      </c>
      <c r="V335" s="509">
        <v>0</v>
      </c>
    </row>
    <row r="336" spans="2:22" s="35" customFormat="1" ht="13.5" customHeight="1" outlineLevel="1">
      <c r="B336" s="104" t="s">
        <v>176</v>
      </c>
      <c r="C336" s="104"/>
      <c r="D336" s="104"/>
      <c r="E336" s="105"/>
      <c r="F336" s="105">
        <f ca="1">SUM(F334:OFFSET(F336,-1,0))</f>
        <v>-5.1267572633552021</v>
      </c>
      <c r="G336" s="105">
        <f ca="1">SUM(G334:OFFSET(G336,-1,0))</f>
        <v>-5.1874414245548266</v>
      </c>
      <c r="H336" s="105">
        <f ca="1">SUM(H334:OFFSET(H336,-1,0))</f>
        <v>-5.2577319587628866</v>
      </c>
      <c r="I336" s="105">
        <f ca="1">SUM(I334:OFFSET(I336,-1,0))</f>
        <v>-5.3420805998125589</v>
      </c>
      <c r="J336" s="105"/>
      <c r="K336" s="245"/>
      <c r="L336" s="105"/>
      <c r="M336" s="105">
        <f ca="1">SUM(M334:OFFSET(M336,-1,0))</f>
        <v>-12.750000000000002</v>
      </c>
      <c r="N336" s="105">
        <f ca="1">SUM(N334:OFFSET(N336,-1,0))</f>
        <v>-18</v>
      </c>
      <c r="O336" s="105">
        <f ca="1">SUM(O334:OFFSET(O336,-1,0))</f>
        <v>-18.999999999999996</v>
      </c>
      <c r="P336" s="105">
        <f ca="1">SUM(P334:OFFSET(P336,-1,0))</f>
        <v>-19.169606801275233</v>
      </c>
      <c r="Q336" s="105">
        <f ca="1">SUM(Q334:OFFSET(Q336,-1,0))</f>
        <v>-19.340727627131464</v>
      </c>
      <c r="R336" s="105">
        <f ca="1">SUM(R334:OFFSET(R336,-1,0))</f>
        <v>-19.513375992772165</v>
      </c>
      <c r="S336" s="105">
        <f ca="1">SUM(S334:OFFSET(S336,-1,0))</f>
        <v>-19.687565534046644</v>
      </c>
      <c r="T336" s="105">
        <f ca="1">SUM(T334:OFFSET(T336,-1,0))</f>
        <v>-19.863310008526977</v>
      </c>
      <c r="U336" s="105">
        <f ca="1">SUM(U334:OFFSET(U336,-1,0))</f>
        <v>-20.040623296594589</v>
      </c>
      <c r="V336" s="105">
        <f ca="1">SUM(V334:OFFSET(V336,-1,0))</f>
        <v>-20.219519402536559</v>
      </c>
    </row>
    <row r="337" spans="2:22" s="35" customFormat="1" ht="13.5" customHeight="1" outlineLevel="1">
      <c r="B337" s="38"/>
      <c r="C337" s="38"/>
      <c r="D337" s="38"/>
      <c r="E337" s="38"/>
      <c r="F337" s="38"/>
      <c r="G337" s="38"/>
      <c r="H337" s="38"/>
      <c r="I337" s="38"/>
      <c r="J337" s="38"/>
      <c r="K337" s="38"/>
      <c r="L337" s="38"/>
      <c r="M337" s="38"/>
      <c r="N337" s="38"/>
      <c r="O337" s="38"/>
      <c r="P337" s="38"/>
      <c r="Q337" s="38"/>
      <c r="R337" s="38"/>
      <c r="S337" s="38"/>
      <c r="T337" s="38"/>
      <c r="U337" s="38"/>
      <c r="V337" s="38"/>
    </row>
    <row r="338" spans="2:22" s="35" customFormat="1" ht="13.5" customHeight="1" outlineLevel="1">
      <c r="B338" s="46" t="s">
        <v>83</v>
      </c>
      <c r="C338" s="47"/>
      <c r="D338" s="47"/>
      <c r="E338" s="47"/>
      <c r="F338" s="47"/>
      <c r="G338" s="47"/>
      <c r="H338" s="47"/>
      <c r="I338" s="47"/>
      <c r="J338" s="47"/>
      <c r="K338" s="47"/>
      <c r="L338" s="47"/>
      <c r="M338" s="47"/>
      <c r="N338" s="47"/>
      <c r="O338" s="47"/>
      <c r="P338" s="47"/>
      <c r="Q338" s="47"/>
      <c r="R338" s="47"/>
      <c r="S338" s="47"/>
      <c r="T338" s="47"/>
      <c r="U338" s="47"/>
      <c r="V338" s="48"/>
    </row>
    <row r="339" spans="2:22" s="35" customFormat="1" ht="5.0999999999999996" customHeight="1" outlineLevel="1">
      <c r="B339" s="38"/>
      <c r="C339" s="38"/>
      <c r="D339" s="38"/>
      <c r="E339" s="38"/>
      <c r="F339" s="38"/>
      <c r="G339" s="38"/>
      <c r="H339" s="38"/>
      <c r="I339" s="38"/>
      <c r="J339" s="38"/>
      <c r="K339" s="38"/>
      <c r="L339" s="38"/>
      <c r="M339" s="38"/>
      <c r="N339" s="38"/>
      <c r="O339" s="38"/>
      <c r="P339" s="38"/>
      <c r="Q339" s="38"/>
      <c r="R339" s="38"/>
      <c r="S339" s="38"/>
      <c r="T339" s="38"/>
      <c r="U339" s="38"/>
      <c r="V339" s="38"/>
    </row>
    <row r="340" spans="2:22" s="35" customFormat="1" ht="13.5" customHeight="1" outlineLevel="1">
      <c r="B340" s="38" t="str">
        <f>B15</f>
        <v>Revolver</v>
      </c>
      <c r="C340" s="38"/>
      <c r="D340" s="38"/>
      <c r="E340" s="100"/>
      <c r="F340" s="508">
        <v>0</v>
      </c>
      <c r="G340" s="54">
        <f t="shared" ref="G340:I340" si="291">F340</f>
        <v>0</v>
      </c>
      <c r="H340" s="54">
        <f t="shared" si="291"/>
        <v>0</v>
      </c>
      <c r="I340" s="54">
        <f t="shared" si="291"/>
        <v>0</v>
      </c>
      <c r="J340" s="38"/>
      <c r="K340" s="38"/>
      <c r="L340" s="38"/>
      <c r="M340" s="54">
        <f ca="1">SUM(M497:M498)</f>
        <v>0</v>
      </c>
      <c r="N340" s="54">
        <f t="shared" ref="N340:V340" ca="1" si="292">SUM(N497:N498)</f>
        <v>0</v>
      </c>
      <c r="O340" s="54">
        <f t="shared" ca="1" si="292"/>
        <v>0</v>
      </c>
      <c r="P340" s="54">
        <f t="shared" ca="1" si="292"/>
        <v>0</v>
      </c>
      <c r="Q340" s="54">
        <f t="shared" ca="1" si="292"/>
        <v>0</v>
      </c>
      <c r="R340" s="54">
        <f t="shared" ca="1" si="292"/>
        <v>0</v>
      </c>
      <c r="S340" s="54">
        <f t="shared" ca="1" si="292"/>
        <v>0</v>
      </c>
      <c r="T340" s="54">
        <f t="shared" ca="1" si="292"/>
        <v>0</v>
      </c>
      <c r="U340" s="54">
        <f t="shared" ca="1" si="292"/>
        <v>0</v>
      </c>
      <c r="V340" s="54">
        <f t="shared" ca="1" si="292"/>
        <v>0</v>
      </c>
    </row>
    <row r="341" spans="2:22" s="35" customFormat="1" ht="13.5" customHeight="1" outlineLevel="1">
      <c r="B341" s="38" t="s">
        <v>141</v>
      </c>
      <c r="C341" s="38"/>
      <c r="D341" s="38"/>
      <c r="E341" s="103"/>
      <c r="F341" s="509">
        <v>0</v>
      </c>
      <c r="G341" s="57">
        <f t="shared" ref="G341:I341" si="293">F341</f>
        <v>0</v>
      </c>
      <c r="H341" s="57">
        <f t="shared" si="293"/>
        <v>0</v>
      </c>
      <c r="I341" s="57">
        <f t="shared" si="293"/>
        <v>0</v>
      </c>
      <c r="J341" s="38"/>
      <c r="K341" s="38"/>
      <c r="L341" s="38"/>
      <c r="M341" s="57">
        <f ca="1">SUM(M514:M515)</f>
        <v>0</v>
      </c>
      <c r="N341" s="57">
        <f t="shared" ref="N341:V341" ca="1" si="294">SUM(N514:N515)</f>
        <v>0</v>
      </c>
      <c r="O341" s="57">
        <f t="shared" ca="1" si="294"/>
        <v>0</v>
      </c>
      <c r="P341" s="57">
        <f t="shared" ca="1" si="294"/>
        <v>0</v>
      </c>
      <c r="Q341" s="57">
        <f t="shared" ca="1" si="294"/>
        <v>0</v>
      </c>
      <c r="R341" s="57">
        <f t="shared" ca="1" si="294"/>
        <v>0</v>
      </c>
      <c r="S341" s="57">
        <f t="shared" ca="1" si="294"/>
        <v>0</v>
      </c>
      <c r="T341" s="57">
        <f t="shared" ca="1" si="294"/>
        <v>0</v>
      </c>
      <c r="U341" s="57">
        <f t="shared" ca="1" si="294"/>
        <v>0</v>
      </c>
      <c r="V341" s="57">
        <f t="shared" ca="1" si="294"/>
        <v>0</v>
      </c>
    </row>
    <row r="342" spans="2:22" s="35" customFormat="1" ht="13.5" customHeight="1" outlineLevel="1">
      <c r="B342" s="38" t="str">
        <f t="shared" ref="B342:B351" si="295">B1302</f>
        <v>Term loan - A</v>
      </c>
      <c r="C342" s="38"/>
      <c r="D342" s="38"/>
      <c r="E342" s="103"/>
      <c r="F342" s="509">
        <v>0</v>
      </c>
      <c r="G342" s="57">
        <f t="shared" ref="G342:I342" si="296">F342</f>
        <v>0</v>
      </c>
      <c r="H342" s="57">
        <f t="shared" si="296"/>
        <v>0</v>
      </c>
      <c r="I342" s="57">
        <f t="shared" si="296"/>
        <v>0</v>
      </c>
      <c r="J342" s="38"/>
      <c r="K342" s="38"/>
      <c r="L342" s="38"/>
      <c r="M342" s="57">
        <f ca="1">SUM(M543:M544)</f>
        <v>-50</v>
      </c>
      <c r="N342" s="57">
        <f t="shared" ref="N342:V342" ca="1" si="297">SUM(N543:N544)</f>
        <v>0</v>
      </c>
      <c r="O342" s="57">
        <f t="shared" ca="1" si="297"/>
        <v>0</v>
      </c>
      <c r="P342" s="57">
        <f t="shared" ca="1" si="297"/>
        <v>0</v>
      </c>
      <c r="Q342" s="57">
        <f t="shared" ca="1" si="297"/>
        <v>0</v>
      </c>
      <c r="R342" s="57">
        <f t="shared" ca="1" si="297"/>
        <v>0</v>
      </c>
      <c r="S342" s="57">
        <f t="shared" ca="1" si="297"/>
        <v>0</v>
      </c>
      <c r="T342" s="57">
        <f t="shared" ca="1" si="297"/>
        <v>0</v>
      </c>
      <c r="U342" s="57">
        <f t="shared" ca="1" si="297"/>
        <v>0</v>
      </c>
      <c r="V342" s="57">
        <f t="shared" ca="1" si="297"/>
        <v>0</v>
      </c>
    </row>
    <row r="343" spans="2:22" s="35" customFormat="1" ht="13.5" customHeight="1" outlineLevel="1">
      <c r="B343" s="38" t="str">
        <f t="shared" si="295"/>
        <v>Term loan - B</v>
      </c>
      <c r="C343" s="38"/>
      <c r="D343" s="38"/>
      <c r="E343" s="103"/>
      <c r="F343" s="509">
        <v>0</v>
      </c>
      <c r="G343" s="57">
        <f t="shared" ref="G343:I343" si="298">F343</f>
        <v>0</v>
      </c>
      <c r="H343" s="57">
        <f t="shared" si="298"/>
        <v>0</v>
      </c>
      <c r="I343" s="57">
        <f t="shared" si="298"/>
        <v>0</v>
      </c>
      <c r="J343" s="38"/>
      <c r="K343" s="38"/>
      <c r="L343" s="38"/>
      <c r="M343" s="57">
        <f ca="1">SUM(M572:M573)</f>
        <v>0</v>
      </c>
      <c r="N343" s="57">
        <f t="shared" ref="N343:V343" ca="1" si="299">SUM(N572:N573)</f>
        <v>0</v>
      </c>
      <c r="O343" s="57">
        <f t="shared" ca="1" si="299"/>
        <v>0</v>
      </c>
      <c r="P343" s="57">
        <f t="shared" ca="1" si="299"/>
        <v>0</v>
      </c>
      <c r="Q343" s="57">
        <f t="shared" ca="1" si="299"/>
        <v>0</v>
      </c>
      <c r="R343" s="57">
        <f t="shared" ca="1" si="299"/>
        <v>0</v>
      </c>
      <c r="S343" s="57">
        <f t="shared" ca="1" si="299"/>
        <v>0</v>
      </c>
      <c r="T343" s="57">
        <f t="shared" ca="1" si="299"/>
        <v>0</v>
      </c>
      <c r="U343" s="57">
        <f t="shared" ca="1" si="299"/>
        <v>0</v>
      </c>
      <c r="V343" s="57">
        <f t="shared" ca="1" si="299"/>
        <v>0</v>
      </c>
    </row>
    <row r="344" spans="2:22" s="35" customFormat="1" ht="13.5" customHeight="1" outlineLevel="1">
      <c r="B344" s="38" t="str">
        <f t="shared" si="295"/>
        <v>Senior note</v>
      </c>
      <c r="C344" s="38"/>
      <c r="D344" s="38"/>
      <c r="E344" s="103"/>
      <c r="F344" s="509">
        <v>0</v>
      </c>
      <c r="G344" s="57">
        <f t="shared" ref="G344:I344" si="300">F344</f>
        <v>0</v>
      </c>
      <c r="H344" s="57">
        <f t="shared" si="300"/>
        <v>0</v>
      </c>
      <c r="I344" s="57">
        <f t="shared" si="300"/>
        <v>0</v>
      </c>
      <c r="J344" s="38"/>
      <c r="K344" s="38"/>
      <c r="L344" s="38"/>
      <c r="M344" s="57">
        <f ca="1">SUM(M601:M602)</f>
        <v>0</v>
      </c>
      <c r="N344" s="57">
        <f t="shared" ref="N344:V344" ca="1" si="301">SUM(N601:N602)</f>
        <v>0</v>
      </c>
      <c r="O344" s="57">
        <f t="shared" ca="1" si="301"/>
        <v>0</v>
      </c>
      <c r="P344" s="57">
        <f t="shared" ca="1" si="301"/>
        <v>0</v>
      </c>
      <c r="Q344" s="57">
        <f t="shared" ca="1" si="301"/>
        <v>0</v>
      </c>
      <c r="R344" s="57">
        <f t="shared" ca="1" si="301"/>
        <v>0</v>
      </c>
      <c r="S344" s="57">
        <f t="shared" ca="1" si="301"/>
        <v>0</v>
      </c>
      <c r="T344" s="57">
        <f t="shared" ca="1" si="301"/>
        <v>-100</v>
      </c>
      <c r="U344" s="57">
        <f t="shared" ca="1" si="301"/>
        <v>0</v>
      </c>
      <c r="V344" s="57">
        <f t="shared" ca="1" si="301"/>
        <v>0</v>
      </c>
    </row>
    <row r="345" spans="2:22" s="35" customFormat="1" ht="13.5" customHeight="1" outlineLevel="1">
      <c r="B345" s="38" t="str">
        <f t="shared" si="295"/>
        <v>Subordinated note</v>
      </c>
      <c r="C345" s="38"/>
      <c r="D345" s="38"/>
      <c r="E345" s="103"/>
      <c r="F345" s="509">
        <v>0</v>
      </c>
      <c r="G345" s="57">
        <f t="shared" ref="G345:I345" si="302">F345</f>
        <v>0</v>
      </c>
      <c r="H345" s="57">
        <f t="shared" si="302"/>
        <v>0</v>
      </c>
      <c r="I345" s="57">
        <f t="shared" si="302"/>
        <v>0</v>
      </c>
      <c r="J345" s="38"/>
      <c r="K345" s="38"/>
      <c r="L345" s="38"/>
      <c r="M345" s="57">
        <f ca="1">SUM(M630:M631)</f>
        <v>0</v>
      </c>
      <c r="N345" s="57">
        <f t="shared" ref="N345:V345" ca="1" si="303">SUM(N630:N631)</f>
        <v>0</v>
      </c>
      <c r="O345" s="57">
        <f t="shared" ca="1" si="303"/>
        <v>0</v>
      </c>
      <c r="P345" s="57">
        <f t="shared" ca="1" si="303"/>
        <v>0</v>
      </c>
      <c r="Q345" s="57">
        <f t="shared" ca="1" si="303"/>
        <v>0</v>
      </c>
      <c r="R345" s="57">
        <f t="shared" ca="1" si="303"/>
        <v>-50</v>
      </c>
      <c r="S345" s="57">
        <f t="shared" ca="1" si="303"/>
        <v>0</v>
      </c>
      <c r="T345" s="57">
        <f t="shared" ca="1" si="303"/>
        <v>0</v>
      </c>
      <c r="U345" s="57">
        <f t="shared" ca="1" si="303"/>
        <v>0</v>
      </c>
      <c r="V345" s="57">
        <f t="shared" ca="1" si="303"/>
        <v>0</v>
      </c>
    </row>
    <row r="346" spans="2:22" s="35" customFormat="1" ht="13.5" customHeight="1" outlineLevel="1">
      <c r="B346" s="38" t="str">
        <f t="shared" si="295"/>
        <v>Mezzanine</v>
      </c>
      <c r="C346" s="38"/>
      <c r="D346" s="38"/>
      <c r="E346" s="103"/>
      <c r="F346" s="509">
        <v>0</v>
      </c>
      <c r="G346" s="57">
        <f t="shared" ref="G346:I346" si="304">F346</f>
        <v>0</v>
      </c>
      <c r="H346" s="57">
        <f t="shared" si="304"/>
        <v>0</v>
      </c>
      <c r="I346" s="57">
        <f t="shared" si="304"/>
        <v>0</v>
      </c>
      <c r="J346" s="38"/>
      <c r="K346" s="38"/>
      <c r="L346" s="38"/>
      <c r="M346" s="57">
        <f ca="1">SUM(M659:M660)</f>
        <v>0</v>
      </c>
      <c r="N346" s="57">
        <f t="shared" ref="N346:V346" ca="1" si="305">SUM(N659:N660)</f>
        <v>0</v>
      </c>
      <c r="O346" s="57">
        <f t="shared" ca="1" si="305"/>
        <v>0</v>
      </c>
      <c r="P346" s="57">
        <f t="shared" ca="1" si="305"/>
        <v>0</v>
      </c>
      <c r="Q346" s="57">
        <f t="shared" ca="1" si="305"/>
        <v>0</v>
      </c>
      <c r="R346" s="57">
        <f t="shared" ca="1" si="305"/>
        <v>0</v>
      </c>
      <c r="S346" s="57">
        <f t="shared" ca="1" si="305"/>
        <v>0</v>
      </c>
      <c r="T346" s="57">
        <f t="shared" ca="1" si="305"/>
        <v>0</v>
      </c>
      <c r="U346" s="57">
        <f t="shared" ca="1" si="305"/>
        <v>0</v>
      </c>
      <c r="V346" s="57">
        <f t="shared" ca="1" si="305"/>
        <v>0</v>
      </c>
    </row>
    <row r="347" spans="2:22" s="35" customFormat="1" ht="13.5" customHeight="1" outlineLevel="1">
      <c r="B347" s="38" t="str">
        <f t="shared" si="295"/>
        <v>Seller note</v>
      </c>
      <c r="C347" s="38"/>
      <c r="D347" s="38"/>
      <c r="E347" s="103"/>
      <c r="F347" s="509">
        <v>0</v>
      </c>
      <c r="G347" s="57">
        <f t="shared" ref="G347:I347" si="306">F347</f>
        <v>0</v>
      </c>
      <c r="H347" s="57">
        <f t="shared" si="306"/>
        <v>0</v>
      </c>
      <c r="I347" s="57">
        <f t="shared" si="306"/>
        <v>0</v>
      </c>
      <c r="J347" s="38"/>
      <c r="K347" s="38"/>
      <c r="L347" s="38"/>
      <c r="M347" s="57">
        <f ca="1">SUM(M688:M689)</f>
        <v>0</v>
      </c>
      <c r="N347" s="57">
        <f t="shared" ref="N347:V347" ca="1" si="307">SUM(N688:N689)</f>
        <v>0</v>
      </c>
      <c r="O347" s="57">
        <f t="shared" ca="1" si="307"/>
        <v>0</v>
      </c>
      <c r="P347" s="57">
        <f t="shared" ca="1" si="307"/>
        <v>0</v>
      </c>
      <c r="Q347" s="57">
        <f t="shared" ca="1" si="307"/>
        <v>0</v>
      </c>
      <c r="R347" s="57">
        <f t="shared" ca="1" si="307"/>
        <v>0</v>
      </c>
      <c r="S347" s="57">
        <f t="shared" ca="1" si="307"/>
        <v>0</v>
      </c>
      <c r="T347" s="57">
        <f t="shared" ca="1" si="307"/>
        <v>0</v>
      </c>
      <c r="U347" s="57">
        <f t="shared" ca="1" si="307"/>
        <v>0</v>
      </c>
      <c r="V347" s="57">
        <f t="shared" ca="1" si="307"/>
        <v>0</v>
      </c>
    </row>
    <row r="348" spans="2:22" s="35" customFormat="1" ht="13.5" customHeight="1" outlineLevel="1">
      <c r="B348" s="38" t="str">
        <f t="shared" si="295"/>
        <v>Convertible bond</v>
      </c>
      <c r="C348" s="38"/>
      <c r="D348" s="38"/>
      <c r="E348" s="103"/>
      <c r="F348" s="509">
        <v>0</v>
      </c>
      <c r="G348" s="57">
        <f t="shared" ref="G348:G349" si="308">F348</f>
        <v>0</v>
      </c>
      <c r="H348" s="57">
        <f t="shared" ref="H348:H349" si="309">G348</f>
        <v>0</v>
      </c>
      <c r="I348" s="57">
        <f t="shared" ref="I348:I349" si="310">H348</f>
        <v>0</v>
      </c>
      <c r="J348" s="38"/>
      <c r="K348" s="38"/>
      <c r="L348" s="38"/>
      <c r="M348" s="57">
        <f ca="1">SUM(M717:M718)</f>
        <v>0</v>
      </c>
      <c r="N348" s="57">
        <f t="shared" ref="N348:V348" ca="1" si="311">SUM(N717:N718)</f>
        <v>0</v>
      </c>
      <c r="O348" s="57">
        <f t="shared" ca="1" si="311"/>
        <v>0</v>
      </c>
      <c r="P348" s="57">
        <f t="shared" ca="1" si="311"/>
        <v>0</v>
      </c>
      <c r="Q348" s="57">
        <f t="shared" ca="1" si="311"/>
        <v>0</v>
      </c>
      <c r="R348" s="57">
        <f t="shared" ca="1" si="311"/>
        <v>0</v>
      </c>
      <c r="S348" s="57">
        <f t="shared" ca="1" si="311"/>
        <v>0</v>
      </c>
      <c r="T348" s="57">
        <f t="shared" ca="1" si="311"/>
        <v>0</v>
      </c>
      <c r="U348" s="57">
        <f t="shared" ca="1" si="311"/>
        <v>0</v>
      </c>
      <c r="V348" s="57">
        <f t="shared" ca="1" si="311"/>
        <v>0</v>
      </c>
    </row>
    <row r="349" spans="2:22" s="35" customFormat="1" ht="13.5" customHeight="1" outlineLevel="1">
      <c r="B349" s="38" t="str">
        <f t="shared" si="295"/>
        <v>[Debt 8]</v>
      </c>
      <c r="C349" s="38"/>
      <c r="D349" s="38"/>
      <c r="E349" s="103"/>
      <c r="F349" s="509">
        <v>0</v>
      </c>
      <c r="G349" s="57">
        <f t="shared" si="308"/>
        <v>0</v>
      </c>
      <c r="H349" s="57">
        <f t="shared" si="309"/>
        <v>0</v>
      </c>
      <c r="I349" s="57">
        <f t="shared" si="310"/>
        <v>0</v>
      </c>
      <c r="J349" s="38"/>
      <c r="K349" s="38"/>
      <c r="L349" s="38"/>
      <c r="M349" s="57">
        <f ca="1">SUM(M746:M747)</f>
        <v>0</v>
      </c>
      <c r="N349" s="57">
        <f t="shared" ref="N349:V349" ca="1" si="312">SUM(N746:N747)</f>
        <v>0</v>
      </c>
      <c r="O349" s="57">
        <f t="shared" ca="1" si="312"/>
        <v>0</v>
      </c>
      <c r="P349" s="57">
        <f t="shared" ca="1" si="312"/>
        <v>0</v>
      </c>
      <c r="Q349" s="57">
        <f t="shared" ca="1" si="312"/>
        <v>0</v>
      </c>
      <c r="R349" s="57">
        <f t="shared" ca="1" si="312"/>
        <v>0</v>
      </c>
      <c r="S349" s="57">
        <f t="shared" ca="1" si="312"/>
        <v>0</v>
      </c>
      <c r="T349" s="57">
        <f t="shared" ca="1" si="312"/>
        <v>0</v>
      </c>
      <c r="U349" s="57">
        <f t="shared" ca="1" si="312"/>
        <v>0</v>
      </c>
      <c r="V349" s="57">
        <f t="shared" ca="1" si="312"/>
        <v>0</v>
      </c>
    </row>
    <row r="350" spans="2:22" s="35" customFormat="1" ht="13.5" customHeight="1" outlineLevel="1">
      <c r="B350" s="38" t="str">
        <f t="shared" si="295"/>
        <v>Preferred stock - A</v>
      </c>
      <c r="C350" s="38"/>
      <c r="D350" s="38"/>
      <c r="E350" s="103"/>
      <c r="F350" s="509">
        <v>0</v>
      </c>
      <c r="G350" s="57">
        <f t="shared" ref="G350:I350" si="313">F350</f>
        <v>0</v>
      </c>
      <c r="H350" s="57">
        <f t="shared" si="313"/>
        <v>0</v>
      </c>
      <c r="I350" s="57">
        <f t="shared" si="313"/>
        <v>0</v>
      </c>
      <c r="J350" s="38"/>
      <c r="K350" s="38"/>
      <c r="L350" s="38"/>
      <c r="M350" s="57">
        <f ca="1">SUM(M775:M776)</f>
        <v>0</v>
      </c>
      <c r="N350" s="57">
        <f t="shared" ref="N350:V350" ca="1" si="314">SUM(N775:N776)</f>
        <v>0</v>
      </c>
      <c r="O350" s="57">
        <f t="shared" ca="1" si="314"/>
        <v>0</v>
      </c>
      <c r="P350" s="57">
        <f t="shared" ca="1" si="314"/>
        <v>0</v>
      </c>
      <c r="Q350" s="57">
        <f t="shared" ca="1" si="314"/>
        <v>0</v>
      </c>
      <c r="R350" s="57">
        <f t="shared" ca="1" si="314"/>
        <v>0</v>
      </c>
      <c r="S350" s="57">
        <f t="shared" ca="1" si="314"/>
        <v>0</v>
      </c>
      <c r="T350" s="57">
        <f t="shared" ca="1" si="314"/>
        <v>0</v>
      </c>
      <c r="U350" s="57">
        <f t="shared" ca="1" si="314"/>
        <v>0</v>
      </c>
      <c r="V350" s="57">
        <f t="shared" ca="1" si="314"/>
        <v>0</v>
      </c>
    </row>
    <row r="351" spans="2:22" s="35" customFormat="1" ht="13.5" customHeight="1" outlineLevel="1">
      <c r="B351" s="38" t="str">
        <f t="shared" si="295"/>
        <v>Preferred stock - B</v>
      </c>
      <c r="C351" s="38"/>
      <c r="D351" s="38"/>
      <c r="E351" s="103"/>
      <c r="F351" s="509">
        <v>0</v>
      </c>
      <c r="G351" s="57">
        <f t="shared" ref="G351:I351" si="315">F351</f>
        <v>0</v>
      </c>
      <c r="H351" s="57">
        <f t="shared" si="315"/>
        <v>0</v>
      </c>
      <c r="I351" s="57">
        <f t="shared" si="315"/>
        <v>0</v>
      </c>
      <c r="J351" s="38"/>
      <c r="K351" s="38"/>
      <c r="L351" s="38"/>
      <c r="M351" s="57">
        <f ca="1">SUM(M804:M805)</f>
        <v>0</v>
      </c>
      <c r="N351" s="57">
        <f t="shared" ref="N351:V351" ca="1" si="316">SUM(N804:N805)</f>
        <v>0</v>
      </c>
      <c r="O351" s="57">
        <f t="shared" ca="1" si="316"/>
        <v>0</v>
      </c>
      <c r="P351" s="57">
        <f t="shared" ca="1" si="316"/>
        <v>0</v>
      </c>
      <c r="Q351" s="57">
        <f t="shared" ca="1" si="316"/>
        <v>0</v>
      </c>
      <c r="R351" s="57">
        <f t="shared" ca="1" si="316"/>
        <v>0</v>
      </c>
      <c r="S351" s="57">
        <f t="shared" ca="1" si="316"/>
        <v>0</v>
      </c>
      <c r="T351" s="57">
        <f t="shared" ca="1" si="316"/>
        <v>0</v>
      </c>
      <c r="U351" s="57">
        <f t="shared" ca="1" si="316"/>
        <v>0</v>
      </c>
      <c r="V351" s="57">
        <f t="shared" ca="1" si="316"/>
        <v>0</v>
      </c>
    </row>
    <row r="352" spans="2:22" s="35" customFormat="1" ht="13.5" customHeight="1" outlineLevel="1">
      <c r="B352" s="38" t="s">
        <v>490</v>
      </c>
      <c r="C352" s="38"/>
      <c r="D352" s="38"/>
      <c r="E352" s="103"/>
      <c r="F352" s="57">
        <f>-F206*F1162</f>
        <v>-1.7461</v>
      </c>
      <c r="G352" s="57">
        <f>-G206*G1162</f>
        <v>-1.7461</v>
      </c>
      <c r="H352" s="57">
        <f>-H206*H1162</f>
        <v>-1.7461</v>
      </c>
      <c r="I352" s="57">
        <f>-I206*I1162</f>
        <v>-1.7461</v>
      </c>
      <c r="J352" s="57"/>
      <c r="K352" s="57"/>
      <c r="L352" s="57"/>
      <c r="M352" s="57">
        <f t="shared" ref="M352:V352" ca="1" si="317">-M206*M1162</f>
        <v>0</v>
      </c>
      <c r="N352" s="57">
        <f t="shared" ca="1" si="317"/>
        <v>0</v>
      </c>
      <c r="O352" s="57">
        <f t="shared" ca="1" si="317"/>
        <v>0</v>
      </c>
      <c r="P352" s="57">
        <f t="shared" ca="1" si="317"/>
        <v>0</v>
      </c>
      <c r="Q352" s="57">
        <f t="shared" ca="1" si="317"/>
        <v>0</v>
      </c>
      <c r="R352" s="57">
        <f t="shared" ca="1" si="317"/>
        <v>0</v>
      </c>
      <c r="S352" s="57">
        <f t="shared" ca="1" si="317"/>
        <v>0</v>
      </c>
      <c r="T352" s="57">
        <f t="shared" ca="1" si="317"/>
        <v>0</v>
      </c>
      <c r="U352" s="57">
        <f t="shared" ca="1" si="317"/>
        <v>0</v>
      </c>
      <c r="V352" s="57">
        <f t="shared" ca="1" si="317"/>
        <v>0</v>
      </c>
    </row>
    <row r="353" spans="1:22" s="35" customFormat="1" ht="13.5" customHeight="1" outlineLevel="1">
      <c r="B353" s="104" t="s">
        <v>177</v>
      </c>
      <c r="C353" s="104"/>
      <c r="D353" s="104"/>
      <c r="E353" s="105"/>
      <c r="F353" s="105">
        <f ca="1">SUM(F340:OFFSET(F353,-1,0))</f>
        <v>-1.7461</v>
      </c>
      <c r="G353" s="105">
        <f ca="1">SUM(G340:OFFSET(G353,-1,0))</f>
        <v>-1.7461</v>
      </c>
      <c r="H353" s="105">
        <f ca="1">SUM(H340:OFFSET(H353,-1,0))</f>
        <v>-1.7461</v>
      </c>
      <c r="I353" s="105">
        <f ca="1">SUM(I340:OFFSET(I353,-1,0))</f>
        <v>-1.7461</v>
      </c>
      <c r="J353" s="105"/>
      <c r="K353" s="245"/>
      <c r="L353" s="105"/>
      <c r="M353" s="105">
        <f ca="1">SUM(M340:OFFSET(M353,-1,0))</f>
        <v>-50</v>
      </c>
      <c r="N353" s="105">
        <f ca="1">SUM(N340:OFFSET(N353,-1,0))</f>
        <v>0</v>
      </c>
      <c r="O353" s="105">
        <f ca="1">SUM(O340:OFFSET(O353,-1,0))</f>
        <v>0</v>
      </c>
      <c r="P353" s="105">
        <f ca="1">SUM(P340:OFFSET(P353,-1,0))</f>
        <v>0</v>
      </c>
      <c r="Q353" s="105">
        <f ca="1">SUM(Q340:OFFSET(Q353,-1,0))</f>
        <v>0</v>
      </c>
      <c r="R353" s="105">
        <f ca="1">SUM(R340:OFFSET(R353,-1,0))</f>
        <v>-50</v>
      </c>
      <c r="S353" s="105">
        <f ca="1">SUM(S340:OFFSET(S353,-1,0))</f>
        <v>0</v>
      </c>
      <c r="T353" s="105">
        <f ca="1">SUM(T340:OFFSET(T353,-1,0))</f>
        <v>-100</v>
      </c>
      <c r="U353" s="105">
        <f ca="1">SUM(U340:OFFSET(U353,-1,0))</f>
        <v>0</v>
      </c>
      <c r="V353" s="105">
        <f ca="1">SUM(V340:OFFSET(V353,-1,0))</f>
        <v>0</v>
      </c>
    </row>
    <row r="354" spans="1:22" s="35" customFormat="1" ht="13.5" customHeight="1" outlineLevel="1">
      <c r="B354" s="38"/>
      <c r="C354" s="38"/>
      <c r="D354" s="38"/>
      <c r="E354" s="38"/>
      <c r="F354" s="38"/>
      <c r="G354" s="38"/>
      <c r="H354" s="38"/>
      <c r="I354" s="38"/>
      <c r="J354" s="38"/>
      <c r="K354" s="38"/>
      <c r="L354" s="38"/>
      <c r="M354" s="247"/>
      <c r="N354" s="247"/>
      <c r="O354" s="247"/>
      <c r="P354" s="247"/>
      <c r="Q354" s="247"/>
      <c r="R354" s="247"/>
      <c r="S354" s="247"/>
      <c r="T354" s="247"/>
      <c r="U354" s="247"/>
      <c r="V354" s="247"/>
    </row>
    <row r="355" spans="1:22" s="35" customFormat="1" ht="13.5" customHeight="1" outlineLevel="1">
      <c r="B355" s="80" t="s">
        <v>179</v>
      </c>
      <c r="C355" s="38"/>
      <c r="D355" s="38"/>
      <c r="E355" s="248"/>
      <c r="F355" s="248">
        <f ca="1">F336+F330</f>
        <v>13.647349105695163</v>
      </c>
      <c r="G355" s="248">
        <f ca="1">G336+G330</f>
        <v>12.902115519620686</v>
      </c>
      <c r="H355" s="248">
        <f ca="1">H336+H330</f>
        <v>14.271178846331114</v>
      </c>
      <c r="I355" s="248">
        <f ca="1">I336+I330</f>
        <v>14.460183975315257</v>
      </c>
      <c r="J355" s="38"/>
      <c r="K355" s="38"/>
      <c r="L355" s="38"/>
      <c r="M355" s="248">
        <f t="shared" ref="M355:V355" ca="1" si="318">M336+M330</f>
        <v>60.852644718369078</v>
      </c>
      <c r="N355" s="248">
        <f t="shared" ca="1" si="318"/>
        <v>95.166892585036337</v>
      </c>
      <c r="O355" s="248">
        <f t="shared" ca="1" si="318"/>
        <v>99.671465728769931</v>
      </c>
      <c r="P355" s="248">
        <f t="shared" ca="1" si="318"/>
        <v>100.29551666288039</v>
      </c>
      <c r="Q355" s="248">
        <f t="shared" ca="1" si="318"/>
        <v>100.40740470754417</v>
      </c>
      <c r="R355" s="248">
        <f t="shared" ca="1" si="318"/>
        <v>95.716500627236357</v>
      </c>
      <c r="S355" s="248">
        <f t="shared" ca="1" si="318"/>
        <v>98.073636519838061</v>
      </c>
      <c r="T355" s="248">
        <f t="shared" ca="1" si="318"/>
        <v>98.810665955181634</v>
      </c>
      <c r="U355" s="248">
        <f t="shared" ca="1" si="318"/>
        <v>106.91782926697417</v>
      </c>
      <c r="V355" s="248">
        <f t="shared" ca="1" si="318"/>
        <v>108.37392914976162</v>
      </c>
    </row>
    <row r="356" spans="1:22" s="35" customFormat="1" ht="13.5" customHeight="1" outlineLevel="1">
      <c r="B356" s="80" t="s">
        <v>178</v>
      </c>
      <c r="C356" s="38"/>
      <c r="D356" s="38"/>
      <c r="E356" s="249"/>
      <c r="F356" s="249">
        <f ca="1">F353+F336+F330</f>
        <v>11.901249105695163</v>
      </c>
      <c r="G356" s="249">
        <f ca="1">G353+G336+G330</f>
        <v>11.156015519620686</v>
      </c>
      <c r="H356" s="249">
        <f ca="1">H353+H336+H330</f>
        <v>12.525078846331112</v>
      </c>
      <c r="I356" s="249">
        <f ca="1">I353+I336+I330</f>
        <v>12.714083975315255</v>
      </c>
      <c r="J356" s="38"/>
      <c r="K356" s="38"/>
      <c r="L356" s="38"/>
      <c r="M356" s="249">
        <f t="shared" ref="M356:V356" ca="1" si="319">M353+M336+M330</f>
        <v>10.852644718369078</v>
      </c>
      <c r="N356" s="249">
        <f t="shared" ca="1" si="319"/>
        <v>95.166892585036337</v>
      </c>
      <c r="O356" s="249">
        <f t="shared" ca="1" si="319"/>
        <v>99.671465728769931</v>
      </c>
      <c r="P356" s="249">
        <f t="shared" ca="1" si="319"/>
        <v>100.29551666288039</v>
      </c>
      <c r="Q356" s="249">
        <f t="shared" ca="1" si="319"/>
        <v>100.40740470754417</v>
      </c>
      <c r="R356" s="249">
        <f t="shared" ca="1" si="319"/>
        <v>45.716500627236357</v>
      </c>
      <c r="S356" s="249">
        <f t="shared" ca="1" si="319"/>
        <v>98.073636519838061</v>
      </c>
      <c r="T356" s="249">
        <f t="shared" ca="1" si="319"/>
        <v>-1.1893340448183665</v>
      </c>
      <c r="U356" s="249">
        <f t="shared" ca="1" si="319"/>
        <v>106.91782926697417</v>
      </c>
      <c r="V356" s="249">
        <f t="shared" ca="1" si="319"/>
        <v>108.37392914976162</v>
      </c>
    </row>
    <row r="357" spans="1:22" s="35" customFormat="1" ht="5.0999999999999996" customHeight="1" outlineLevel="1" thickBot="1">
      <c r="B357" s="121"/>
      <c r="C357" s="121"/>
      <c r="D357" s="233"/>
      <c r="E357" s="233"/>
      <c r="F357" s="234"/>
      <c r="G357" s="234"/>
      <c r="H357" s="234"/>
      <c r="I357" s="234"/>
      <c r="J357" s="233"/>
      <c r="K357" s="234"/>
      <c r="L357" s="233"/>
      <c r="M357" s="234"/>
      <c r="N357" s="234"/>
      <c r="O357" s="234"/>
      <c r="P357" s="234"/>
      <c r="Q357" s="234"/>
      <c r="R357" s="234"/>
      <c r="S357" s="234"/>
      <c r="T357" s="234"/>
      <c r="U357" s="234"/>
      <c r="V357" s="234"/>
    </row>
    <row r="358" spans="1:22" s="35" customFormat="1" ht="13.5" customHeight="1" outlineLevel="1">
      <c r="F358" s="102"/>
    </row>
    <row r="359" spans="1:22" s="35" customFormat="1" ht="13.5" customHeight="1" outlineLevel="1" thickBot="1">
      <c r="F359" s="102"/>
    </row>
    <row r="360" spans="1:22" s="35" customFormat="1" ht="20.100000000000001" customHeight="1" thickTop="1">
      <c r="A360" s="41" t="s">
        <v>426</v>
      </c>
      <c r="B360" s="42" t="s">
        <v>64</v>
      </c>
      <c r="C360" s="43"/>
      <c r="D360" s="44"/>
      <c r="E360" s="44"/>
      <c r="F360" s="44"/>
      <c r="G360" s="44"/>
      <c r="H360" s="44"/>
      <c r="I360" s="44"/>
      <c r="J360" s="44"/>
      <c r="K360" s="44"/>
      <c r="L360" s="44"/>
      <c r="M360" s="44"/>
      <c r="N360" s="44"/>
      <c r="O360" s="44"/>
      <c r="P360" s="44"/>
      <c r="Q360" s="44"/>
      <c r="R360" s="44"/>
      <c r="S360" s="44"/>
      <c r="T360" s="44"/>
      <c r="U360" s="44"/>
      <c r="V360" s="44"/>
    </row>
    <row r="361" spans="1:22" s="35" customFormat="1" ht="13.5" customHeight="1" outlineLevel="1">
      <c r="B361" s="45"/>
      <c r="V361" s="155" t="str">
        <f ca="1">err_msg</f>
        <v/>
      </c>
    </row>
    <row r="362" spans="1:22" s="35" customFormat="1" ht="13.5" customHeight="1" outlineLevel="1">
      <c r="D362" s="250"/>
      <c r="E362" s="205" t="s">
        <v>72</v>
      </c>
      <c r="F362" s="205" t="s">
        <v>196</v>
      </c>
      <c r="G362" s="205"/>
      <c r="H362" s="205"/>
      <c r="I362" s="205"/>
      <c r="J362" s="126" t="s">
        <v>194</v>
      </c>
      <c r="K362" s="205"/>
      <c r="L362" s="126" t="s">
        <v>23</v>
      </c>
      <c r="M362" s="126" t="str">
        <f>M$144</f>
        <v>3 Quarters</v>
      </c>
      <c r="N362" s="205" t="str">
        <f>N$144</f>
        <v>Fiscal Years Ending September 30,</v>
      </c>
      <c r="O362" s="127"/>
      <c r="P362" s="127"/>
      <c r="Q362" s="127"/>
      <c r="R362" s="127"/>
      <c r="S362" s="127"/>
      <c r="T362" s="127"/>
      <c r="U362" s="127"/>
      <c r="V362" s="127"/>
    </row>
    <row r="363" spans="1:22" s="35" customFormat="1" ht="13.5" customHeight="1" outlineLevel="1">
      <c r="D363" s="251"/>
      <c r="E363" s="109" t="str">
        <f>E$145</f>
        <v>MRQ</v>
      </c>
      <c r="F363" s="109" t="str">
        <f>F$145</f>
        <v>MRQ+1</v>
      </c>
      <c r="G363" s="109" t="str">
        <f t="shared" ref="G363:I363" si="320">G$145</f>
        <v>MRQ+2</v>
      </c>
      <c r="H363" s="109" t="str">
        <f t="shared" si="320"/>
        <v>MRQ+3</v>
      </c>
      <c r="I363" s="109" t="str">
        <f t="shared" si="320"/>
        <v>MRQ+4</v>
      </c>
      <c r="J363" s="109" t="s">
        <v>195</v>
      </c>
      <c r="K363" s="206" t="s">
        <v>606</v>
      </c>
      <c r="L363" s="109" t="s">
        <v>195</v>
      </c>
      <c r="M363" s="109" t="str">
        <f t="shared" ref="M363" si="321">M$145</f>
        <v>Ending</v>
      </c>
      <c r="N363" s="109">
        <f>N$145</f>
        <v>2</v>
      </c>
      <c r="O363" s="109">
        <f t="shared" ref="O363:V363" si="322">N363+1</f>
        <v>3</v>
      </c>
      <c r="P363" s="109">
        <f t="shared" si="322"/>
        <v>4</v>
      </c>
      <c r="Q363" s="109">
        <f t="shared" si="322"/>
        <v>5</v>
      </c>
      <c r="R363" s="109">
        <f t="shared" si="322"/>
        <v>6</v>
      </c>
      <c r="S363" s="109">
        <f t="shared" si="322"/>
        <v>7</v>
      </c>
      <c r="T363" s="109">
        <f t="shared" si="322"/>
        <v>8</v>
      </c>
      <c r="U363" s="109">
        <f t="shared" si="322"/>
        <v>9</v>
      </c>
      <c r="V363" s="109">
        <f t="shared" si="322"/>
        <v>10</v>
      </c>
    </row>
    <row r="364" spans="1:22" s="35" customFormat="1" ht="13.5" customHeight="1" outlineLevel="1" thickBot="1">
      <c r="B364" s="130" t="s">
        <v>246</v>
      </c>
      <c r="C364" s="208"/>
      <c r="D364" s="131"/>
      <c r="E364" s="133">
        <f>E$146</f>
        <v>45016</v>
      </c>
      <c r="F364" s="133">
        <f>F$146</f>
        <v>45107</v>
      </c>
      <c r="G364" s="133">
        <f t="shared" ref="G364:I364" si="323">G$146</f>
        <v>45199</v>
      </c>
      <c r="H364" s="133">
        <f t="shared" si="323"/>
        <v>45291</v>
      </c>
      <c r="I364" s="133">
        <f t="shared" si="323"/>
        <v>45382</v>
      </c>
      <c r="J364" s="133">
        <f>close</f>
        <v>45291</v>
      </c>
      <c r="K364" s="210" t="s">
        <v>597</v>
      </c>
      <c r="L364" s="133">
        <f>close</f>
        <v>45291</v>
      </c>
      <c r="M364" s="209">
        <f t="shared" ref="M364" si="324">M$146</f>
        <v>45565</v>
      </c>
      <c r="N364" s="211">
        <f>N$146</f>
        <v>45930</v>
      </c>
      <c r="O364" s="134">
        <f t="shared" ref="O364:V364" si="325">O$146</f>
        <v>46295</v>
      </c>
      <c r="P364" s="134">
        <f t="shared" si="325"/>
        <v>46660</v>
      </c>
      <c r="Q364" s="134">
        <f t="shared" si="325"/>
        <v>47026</v>
      </c>
      <c r="R364" s="134">
        <f t="shared" si="325"/>
        <v>47391</v>
      </c>
      <c r="S364" s="134">
        <f t="shared" si="325"/>
        <v>47756</v>
      </c>
      <c r="T364" s="134">
        <f t="shared" si="325"/>
        <v>48121</v>
      </c>
      <c r="U364" s="134">
        <f t="shared" si="325"/>
        <v>48487</v>
      </c>
      <c r="V364" s="134">
        <f t="shared" si="325"/>
        <v>48852</v>
      </c>
    </row>
    <row r="365" spans="1:22" s="35" customFormat="1" ht="5.0999999999999996" customHeight="1" outlineLevel="1">
      <c r="D365" s="38"/>
      <c r="E365" s="38"/>
    </row>
    <row r="366" spans="1:22" s="35" customFormat="1" ht="13.5" customHeight="1" outlineLevel="1">
      <c r="B366" s="46" t="s">
        <v>268</v>
      </c>
      <c r="C366" s="47"/>
      <c r="D366" s="47"/>
      <c r="E366" s="47"/>
      <c r="F366" s="47"/>
      <c r="G366" s="47"/>
      <c r="H366" s="47"/>
      <c r="I366" s="47"/>
      <c r="J366" s="47"/>
      <c r="K366" s="47"/>
      <c r="L366" s="47"/>
      <c r="M366" s="47"/>
      <c r="N366" s="47"/>
      <c r="O366" s="47"/>
      <c r="P366" s="47"/>
      <c r="Q366" s="47"/>
      <c r="R366" s="47"/>
      <c r="S366" s="47"/>
      <c r="T366" s="47"/>
      <c r="U366" s="47"/>
      <c r="V366" s="48"/>
    </row>
    <row r="367" spans="1:22" s="35" customFormat="1" ht="5.0999999999999996" customHeight="1" outlineLevel="1">
      <c r="B367" s="38"/>
      <c r="C367" s="38"/>
      <c r="D367" s="38"/>
      <c r="E367" s="38"/>
      <c r="F367" s="38"/>
      <c r="G367" s="38"/>
      <c r="H367" s="38"/>
      <c r="J367" s="38"/>
      <c r="K367" s="223"/>
      <c r="L367" s="38"/>
      <c r="M367" s="38"/>
      <c r="N367" s="38"/>
      <c r="O367" s="38"/>
      <c r="P367" s="38"/>
      <c r="Q367" s="38"/>
      <c r="R367" s="38"/>
      <c r="S367" s="38"/>
      <c r="T367" s="38"/>
      <c r="U367" s="38"/>
      <c r="V367" s="38"/>
    </row>
    <row r="368" spans="1:22" s="35" customFormat="1" ht="13.5" customHeight="1" outlineLevel="1">
      <c r="B368" s="88" t="str">
        <f>B248</f>
        <v>Accounts receivable</v>
      </c>
      <c r="D368" s="54"/>
      <c r="E368" s="213">
        <f>E248</f>
        <v>131.44300000000001</v>
      </c>
      <c r="F368" s="252">
        <f t="shared" ref="F368:I371" si="326">CHOOSE($D386,F$382,F$383)*F386/F$148</f>
        <v>133.54337783505156</v>
      </c>
      <c r="G368" s="252">
        <f t="shared" si="326"/>
        <v>136.37057263355203</v>
      </c>
      <c r="H368" s="252">
        <f t="shared" si="326"/>
        <v>138.21841237113401</v>
      </c>
      <c r="I368" s="252">
        <f t="shared" si="326"/>
        <v>140.43582005623242</v>
      </c>
      <c r="J368" s="213">
        <f ca="1">OFFSET(D368,0,MATCH(J$364,E$364:I$364))</f>
        <v>138.21841237113401</v>
      </c>
      <c r="K368" s="214">
        <f ca="1">L368-J368</f>
        <v>0</v>
      </c>
      <c r="L368" s="213">
        <f ca="1">O1333</f>
        <v>138.21841237113401</v>
      </c>
      <c r="M368" s="252">
        <f t="shared" ref="M368:V368" ca="1" si="327">CHOOSE($D386,M$382,M$383)*M386/M$148</f>
        <v>144.13149953139643</v>
      </c>
      <c r="N368" s="252">
        <f t="shared" ca="1" si="327"/>
        <v>144.90143275538892</v>
      </c>
      <c r="O368" s="252">
        <f t="shared" ca="1" si="327"/>
        <v>146.19492057169629</v>
      </c>
      <c r="P368" s="252">
        <f t="shared" ca="1" si="327"/>
        <v>147.49995493174117</v>
      </c>
      <c r="Q368" s="252">
        <f t="shared" ca="1" si="327"/>
        <v>148.81663890775246</v>
      </c>
      <c r="R368" s="252">
        <f t="shared" ca="1" si="327"/>
        <v>150.14507649205117</v>
      </c>
      <c r="S368" s="252">
        <f t="shared" ca="1" si="327"/>
        <v>151.48537260526396</v>
      </c>
      <c r="T368" s="252">
        <f t="shared" ca="1" si="327"/>
        <v>152.83763310460955</v>
      </c>
      <c r="U368" s="252">
        <f t="shared" ca="1" si="327"/>
        <v>154.20196479225962</v>
      </c>
      <c r="V368" s="252">
        <f t="shared" ca="1" si="327"/>
        <v>155.57847542377394</v>
      </c>
    </row>
    <row r="369" spans="2:22" s="35" customFormat="1" ht="13.5" customHeight="1" outlineLevel="1">
      <c r="B369" s="88" t="str">
        <f>B249</f>
        <v>Inventories</v>
      </c>
      <c r="D369" s="57"/>
      <c r="E369" s="113">
        <f>E249</f>
        <v>0</v>
      </c>
      <c r="F369" s="57">
        <f t="shared" si="326"/>
        <v>0</v>
      </c>
      <c r="G369" s="57">
        <f t="shared" si="326"/>
        <v>0</v>
      </c>
      <c r="H369" s="57">
        <f t="shared" si="326"/>
        <v>0</v>
      </c>
      <c r="I369" s="57">
        <f t="shared" si="326"/>
        <v>0</v>
      </c>
      <c r="J369" s="113">
        <f ca="1">OFFSET(D369,0,MATCH(J$364,E$364:I$364))</f>
        <v>0</v>
      </c>
      <c r="K369" s="224">
        <f ca="1">L369-J369</f>
        <v>0</v>
      </c>
      <c r="L369" s="113">
        <f ca="1">O1334</f>
        <v>0</v>
      </c>
      <c r="M369" s="57">
        <f t="shared" ref="M369:V369" ca="1" si="328">CHOOSE($D387,M$382,M$383)*M387/M$148</f>
        <v>0</v>
      </c>
      <c r="N369" s="57">
        <f t="shared" ca="1" si="328"/>
        <v>0</v>
      </c>
      <c r="O369" s="57">
        <f t="shared" ca="1" si="328"/>
        <v>0</v>
      </c>
      <c r="P369" s="57">
        <f t="shared" ca="1" si="328"/>
        <v>0</v>
      </c>
      <c r="Q369" s="57">
        <f t="shared" ca="1" si="328"/>
        <v>0</v>
      </c>
      <c r="R369" s="57">
        <f t="shared" ca="1" si="328"/>
        <v>0</v>
      </c>
      <c r="S369" s="57">
        <f t="shared" ca="1" si="328"/>
        <v>0</v>
      </c>
      <c r="T369" s="57">
        <f t="shared" ca="1" si="328"/>
        <v>0</v>
      </c>
      <c r="U369" s="57">
        <f t="shared" ca="1" si="328"/>
        <v>0</v>
      </c>
      <c r="V369" s="57">
        <f t="shared" ca="1" si="328"/>
        <v>0</v>
      </c>
    </row>
    <row r="370" spans="2:22" s="35" customFormat="1" ht="13.5" customHeight="1" outlineLevel="1">
      <c r="B370" s="88" t="str">
        <f>B250</f>
        <v>Deferred tax asset, current</v>
      </c>
      <c r="D370" s="57"/>
      <c r="E370" s="113">
        <f>E250</f>
        <v>0</v>
      </c>
      <c r="F370" s="57">
        <f t="shared" si="326"/>
        <v>0</v>
      </c>
      <c r="G370" s="57">
        <f t="shared" si="326"/>
        <v>0</v>
      </c>
      <c r="H370" s="57">
        <f t="shared" si="326"/>
        <v>0</v>
      </c>
      <c r="I370" s="57">
        <f t="shared" si="326"/>
        <v>0</v>
      </c>
      <c r="J370" s="113">
        <f ca="1">OFFSET(D370,0,MATCH(J$364,E$364:I$364))</f>
        <v>0</v>
      </c>
      <c r="K370" s="224">
        <f t="shared" ref="K370:K376" ca="1" si="329">L370-J370</f>
        <v>0</v>
      </c>
      <c r="L370" s="113">
        <f ca="1">O1335</f>
        <v>0</v>
      </c>
      <c r="M370" s="57">
        <f t="shared" ref="M370:V370" ca="1" si="330">CHOOSE($D388,M$382,M$383)*M388/M$148</f>
        <v>0</v>
      </c>
      <c r="N370" s="57">
        <f t="shared" ca="1" si="330"/>
        <v>0</v>
      </c>
      <c r="O370" s="57">
        <f t="shared" ca="1" si="330"/>
        <v>0</v>
      </c>
      <c r="P370" s="57">
        <f t="shared" ca="1" si="330"/>
        <v>0</v>
      </c>
      <c r="Q370" s="57">
        <f t="shared" ca="1" si="330"/>
        <v>0</v>
      </c>
      <c r="R370" s="57">
        <f t="shared" ca="1" si="330"/>
        <v>0</v>
      </c>
      <c r="S370" s="57">
        <f t="shared" ca="1" si="330"/>
        <v>0</v>
      </c>
      <c r="T370" s="57">
        <f t="shared" ca="1" si="330"/>
        <v>0</v>
      </c>
      <c r="U370" s="57">
        <f t="shared" ca="1" si="330"/>
        <v>0</v>
      </c>
      <c r="V370" s="57">
        <f t="shared" ca="1" si="330"/>
        <v>0</v>
      </c>
    </row>
    <row r="371" spans="2:22" s="35" customFormat="1" ht="13.5" customHeight="1" outlineLevel="1">
      <c r="B371" s="88" t="str">
        <f>B251</f>
        <v>Prepaid expenses &amp; other</v>
      </c>
      <c r="D371" s="57"/>
      <c r="E371" s="113">
        <f>E251</f>
        <v>8.2230000000000008</v>
      </c>
      <c r="F371" s="57">
        <f t="shared" si="326"/>
        <v>8.4334606946983559</v>
      </c>
      <c r="G371" s="57">
        <f t="shared" si="326"/>
        <v>8.5386910420475317</v>
      </c>
      <c r="H371" s="57">
        <f t="shared" si="326"/>
        <v>8.6439213893967093</v>
      </c>
      <c r="I371" s="57">
        <f t="shared" si="326"/>
        <v>8.7792175502742236</v>
      </c>
      <c r="J371" s="113">
        <f ca="1">OFFSET(D371,0,MATCH(J$364,E$364:I$364))</f>
        <v>8.6439213893967093</v>
      </c>
      <c r="K371" s="224">
        <f t="shared" ca="1" si="329"/>
        <v>0</v>
      </c>
      <c r="L371" s="113">
        <f ca="1">O1336</f>
        <v>8.6439213893967093</v>
      </c>
      <c r="M371" s="57">
        <f t="shared" ref="M371:V371" ca="1" si="331">CHOOSE($D389,M$382,M$383)*M389/M$148</f>
        <v>9.388050274223037</v>
      </c>
      <c r="N371" s="57">
        <f t="shared" ca="1" si="331"/>
        <v>9.1024250457038391</v>
      </c>
      <c r="O371" s="57">
        <f t="shared" ca="1" si="331"/>
        <v>9.1024250457038409</v>
      </c>
      <c r="P371" s="57">
        <f t="shared" ca="1" si="331"/>
        <v>9.1870342707882031</v>
      </c>
      <c r="Q371" s="57">
        <f t="shared" ca="1" si="331"/>
        <v>9.2723987748212462</v>
      </c>
      <c r="R371" s="57">
        <f t="shared" ca="1" si="331"/>
        <v>9.3585252999317401</v>
      </c>
      <c r="S371" s="57">
        <f t="shared" ca="1" si="331"/>
        <v>9.4454206484332275</v>
      </c>
      <c r="T371" s="57">
        <f t="shared" ca="1" si="331"/>
        <v>9.5330916833612989</v>
      </c>
      <c r="U371" s="57">
        <f t="shared" ca="1" si="331"/>
        <v>9.6215453290156123</v>
      </c>
      <c r="V371" s="57">
        <f t="shared" ca="1" si="331"/>
        <v>9.7107885715068001</v>
      </c>
    </row>
    <row r="372" spans="2:22" ht="13.5" customHeight="1" outlineLevel="1">
      <c r="B372" s="52" t="s">
        <v>270</v>
      </c>
      <c r="C372" s="52"/>
      <c r="D372" s="52"/>
      <c r="E372" s="87">
        <f>SUM(E368:E371)</f>
        <v>139.66600000000003</v>
      </c>
      <c r="F372" s="87">
        <f t="shared" ref="F372:J372" si="332">SUM(F368:F371)</f>
        <v>141.97683852974993</v>
      </c>
      <c r="G372" s="87">
        <f t="shared" si="332"/>
        <v>144.90926367559956</v>
      </c>
      <c r="H372" s="87">
        <f t="shared" si="332"/>
        <v>146.8623337605307</v>
      </c>
      <c r="I372" s="87">
        <f t="shared" si="332"/>
        <v>149.21503760650663</v>
      </c>
      <c r="J372" s="87">
        <f t="shared" ca="1" si="332"/>
        <v>146.8623337605307</v>
      </c>
      <c r="K372" s="220">
        <f t="shared" ref="K372" ca="1" si="333">SUM(K368:K371)</f>
        <v>0</v>
      </c>
      <c r="L372" s="87">
        <f t="shared" ref="L372:M372" ca="1" si="334">SUM(L368:L371)</f>
        <v>146.8623337605307</v>
      </c>
      <c r="M372" s="87">
        <f t="shared" ca="1" si="334"/>
        <v>153.51954980561948</v>
      </c>
      <c r="N372" s="87">
        <f t="shared" ref="N372:V372" ca="1" si="335">SUM(N368:N371)</f>
        <v>154.00385780109275</v>
      </c>
      <c r="O372" s="87">
        <f t="shared" ca="1" si="335"/>
        <v>155.29734561740014</v>
      </c>
      <c r="P372" s="87">
        <f t="shared" ca="1" si="335"/>
        <v>156.68698920252939</v>
      </c>
      <c r="Q372" s="87">
        <f t="shared" ca="1" si="335"/>
        <v>158.08903768257372</v>
      </c>
      <c r="R372" s="87">
        <f t="shared" ca="1" si="335"/>
        <v>159.5036017919829</v>
      </c>
      <c r="S372" s="87">
        <f t="shared" ca="1" si="335"/>
        <v>160.93079325369717</v>
      </c>
      <c r="T372" s="87">
        <f t="shared" ca="1" si="335"/>
        <v>162.37072478797086</v>
      </c>
      <c r="U372" s="87">
        <f t="shared" ca="1" si="335"/>
        <v>163.82351012127523</v>
      </c>
      <c r="V372" s="87">
        <f t="shared" ca="1" si="335"/>
        <v>165.28926399528075</v>
      </c>
    </row>
    <row r="373" spans="2:22" s="35" customFormat="1" ht="13.5" customHeight="1" outlineLevel="1">
      <c r="B373" s="88" t="str">
        <f>B267</f>
        <v>Accounts payable</v>
      </c>
      <c r="D373" s="54"/>
      <c r="E373" s="113">
        <f>E267</f>
        <v>20.661999999999999</v>
      </c>
      <c r="F373" s="57">
        <f t="shared" ref="F373:I376" si="336">CHOOSE($D391,F$382,F$383)*F391/F$148</f>
        <v>21.190826325411333</v>
      </c>
      <c r="G373" s="57">
        <f t="shared" si="336"/>
        <v>21.455239488116998</v>
      </c>
      <c r="H373" s="57">
        <f t="shared" si="336"/>
        <v>21.719652650822667</v>
      </c>
      <c r="I373" s="57">
        <f t="shared" si="336"/>
        <v>22.059612431444236</v>
      </c>
      <c r="J373" s="113">
        <f ca="1">OFFSET(D373,0,MATCH(J$364,E$364:I$364))</f>
        <v>21.719652650822667</v>
      </c>
      <c r="K373" s="224">
        <f t="shared" ca="1" si="329"/>
        <v>0</v>
      </c>
      <c r="L373" s="113">
        <f ca="1">O1352</f>
        <v>21.719652650822667</v>
      </c>
      <c r="M373" s="57">
        <f t="shared" ref="M373:V373" ca="1" si="337">CHOOSE($D391,M$382,M$383)*M391/M$148</f>
        <v>23.589431444241313</v>
      </c>
      <c r="N373" s="57">
        <f t="shared" ca="1" si="337"/>
        <v>22.871738574040211</v>
      </c>
      <c r="O373" s="57">
        <f t="shared" ca="1" si="337"/>
        <v>22.871738574040219</v>
      </c>
      <c r="P373" s="57">
        <f t="shared" ca="1" si="337"/>
        <v>23.084336872555731</v>
      </c>
      <c r="Q373" s="57">
        <f t="shared" ca="1" si="337"/>
        <v>23.298832966722188</v>
      </c>
      <c r="R373" s="57">
        <f t="shared" ca="1" si="337"/>
        <v>23.515243797542205</v>
      </c>
      <c r="S373" s="57">
        <f t="shared" ca="1" si="337"/>
        <v>23.733586457245202</v>
      </c>
      <c r="T373" s="57">
        <f t="shared" ca="1" si="337"/>
        <v>23.953878190637372</v>
      </c>
      <c r="U373" s="57">
        <f t="shared" ca="1" si="337"/>
        <v>24.176136396463644</v>
      </c>
      <c r="V373" s="57">
        <f t="shared" ca="1" si="337"/>
        <v>24.400378628781887</v>
      </c>
    </row>
    <row r="374" spans="2:22" s="35" customFormat="1" ht="13.5" customHeight="1" outlineLevel="1">
      <c r="B374" s="88" t="str">
        <f>B268</f>
        <v>Accrued liabilities</v>
      </c>
      <c r="D374" s="57"/>
      <c r="E374" s="113">
        <f>E268</f>
        <v>15.38</v>
      </c>
      <c r="F374" s="57">
        <f t="shared" si="336"/>
        <v>15.773638025594151</v>
      </c>
      <c r="G374" s="57">
        <f t="shared" si="336"/>
        <v>15.970457038391224</v>
      </c>
      <c r="H374" s="57">
        <f t="shared" si="336"/>
        <v>16.167276051188299</v>
      </c>
      <c r="I374" s="57">
        <f t="shared" si="336"/>
        <v>16.420329067641681</v>
      </c>
      <c r="J374" s="113">
        <f ca="1">OFFSET(D374,0,MATCH(J$364,E$364:I$364))</f>
        <v>16.167276051188299</v>
      </c>
      <c r="K374" s="224">
        <f t="shared" ca="1" si="329"/>
        <v>0</v>
      </c>
      <c r="L374" s="113">
        <f ca="1">O1353</f>
        <v>16.167276051188299</v>
      </c>
      <c r="M374" s="57">
        <f t="shared" ref="M374:V374" ca="1" si="338">CHOOSE($D392,M$382,M$383)*M392/M$148</f>
        <v>17.559067641681903</v>
      </c>
      <c r="N374" s="57">
        <f t="shared" ca="1" si="338"/>
        <v>17.024844606946981</v>
      </c>
      <c r="O374" s="57">
        <f t="shared" ca="1" si="338"/>
        <v>17.024844606946985</v>
      </c>
      <c r="P374" s="57">
        <f t="shared" ca="1" si="338"/>
        <v>17.183094622974892</v>
      </c>
      <c r="Q374" s="57">
        <f t="shared" ca="1" si="338"/>
        <v>17.342757285267027</v>
      </c>
      <c r="R374" s="57">
        <f t="shared" ca="1" si="338"/>
        <v>17.503845204055715</v>
      </c>
      <c r="S374" s="57">
        <f t="shared" ca="1" si="338"/>
        <v>17.666371102140705</v>
      </c>
      <c r="T374" s="57">
        <f t="shared" ca="1" si="338"/>
        <v>17.830347815894047</v>
      </c>
      <c r="U374" s="57">
        <f t="shared" ca="1" si="338"/>
        <v>17.995788296273879</v>
      </c>
      <c r="V374" s="57">
        <f t="shared" ca="1" si="338"/>
        <v>18.162705609847325</v>
      </c>
    </row>
    <row r="375" spans="2:22" s="35" customFormat="1" ht="13.5" customHeight="1" outlineLevel="1">
      <c r="B375" s="88" t="str">
        <f>B269</f>
        <v>Client deposits</v>
      </c>
      <c r="D375" s="57"/>
      <c r="E375" s="113">
        <f>E269</f>
        <v>0</v>
      </c>
      <c r="F375" s="57">
        <f t="shared" si="336"/>
        <v>0</v>
      </c>
      <c r="G375" s="57">
        <f t="shared" si="336"/>
        <v>0</v>
      </c>
      <c r="H375" s="57">
        <f t="shared" si="336"/>
        <v>0</v>
      </c>
      <c r="I375" s="57">
        <f t="shared" si="336"/>
        <v>0</v>
      </c>
      <c r="J375" s="113">
        <f ca="1">OFFSET(D375,0,MATCH(J$364,E$364:I$364))</f>
        <v>0</v>
      </c>
      <c r="K375" s="224">
        <f t="shared" ca="1" si="329"/>
        <v>0</v>
      </c>
      <c r="L375" s="113">
        <f ca="1">O1354</f>
        <v>0</v>
      </c>
      <c r="M375" s="57">
        <f t="shared" ref="M375:V375" ca="1" si="339">CHOOSE($D393,M$382,M$383)*M393/M$148</f>
        <v>0</v>
      </c>
      <c r="N375" s="57">
        <f t="shared" ca="1" si="339"/>
        <v>0</v>
      </c>
      <c r="O375" s="57">
        <f t="shared" ca="1" si="339"/>
        <v>0</v>
      </c>
      <c r="P375" s="57">
        <f t="shared" ca="1" si="339"/>
        <v>0</v>
      </c>
      <c r="Q375" s="57">
        <f t="shared" ca="1" si="339"/>
        <v>0</v>
      </c>
      <c r="R375" s="57">
        <f t="shared" ca="1" si="339"/>
        <v>0</v>
      </c>
      <c r="S375" s="57">
        <f t="shared" ca="1" si="339"/>
        <v>0</v>
      </c>
      <c r="T375" s="57">
        <f t="shared" ca="1" si="339"/>
        <v>0</v>
      </c>
      <c r="U375" s="57">
        <f t="shared" ca="1" si="339"/>
        <v>0</v>
      </c>
      <c r="V375" s="57">
        <f t="shared" ca="1" si="339"/>
        <v>0</v>
      </c>
    </row>
    <row r="376" spans="2:22" s="35" customFormat="1" ht="13.5" customHeight="1" outlineLevel="1">
      <c r="B376" s="88" t="str">
        <f>B270</f>
        <v>Other current liabilities</v>
      </c>
      <c r="D376" s="57"/>
      <c r="E376" s="113">
        <f>E270</f>
        <v>59.132999999999996</v>
      </c>
      <c r="F376" s="57">
        <f t="shared" si="336"/>
        <v>60.646458866544791</v>
      </c>
      <c r="G376" s="57">
        <f t="shared" si="336"/>
        <v>61.403188299817181</v>
      </c>
      <c r="H376" s="57">
        <f t="shared" si="336"/>
        <v>62.159917733089578</v>
      </c>
      <c r="I376" s="57">
        <f t="shared" si="336"/>
        <v>63.132855575868369</v>
      </c>
      <c r="J376" s="113">
        <f ca="1">OFFSET(D376,0,MATCH(J$364,E$364:I$364))</f>
        <v>62.159917733089578</v>
      </c>
      <c r="K376" s="224">
        <f t="shared" ca="1" si="329"/>
        <v>0</v>
      </c>
      <c r="L376" s="113">
        <f ca="1">O1355</f>
        <v>62.159917733089578</v>
      </c>
      <c r="M376" s="57">
        <f t="shared" ref="M376:V376" ca="1" si="340">CHOOSE($D394,M$382,M$383)*M394/M$148</f>
        <v>67.511075868372941</v>
      </c>
      <c r="N376" s="57">
        <f t="shared" ca="1" si="340"/>
        <v>65.457095978062142</v>
      </c>
      <c r="O376" s="57">
        <f t="shared" ca="1" si="340"/>
        <v>65.457095978062156</v>
      </c>
      <c r="P376" s="57">
        <f t="shared" ca="1" si="340"/>
        <v>66.065535392742149</v>
      </c>
      <c r="Q376" s="57">
        <f t="shared" ca="1" si="340"/>
        <v>66.679406147574454</v>
      </c>
      <c r="R376" s="57">
        <f t="shared" ca="1" si="340"/>
        <v>67.298756726360637</v>
      </c>
      <c r="S376" s="57">
        <f t="shared" ca="1" si="340"/>
        <v>67.923636045701315</v>
      </c>
      <c r="T376" s="57">
        <f t="shared" ca="1" si="340"/>
        <v>68.554093458859739</v>
      </c>
      <c r="U376" s="57">
        <f t="shared" ca="1" si="340"/>
        <v>69.190178759659517</v>
      </c>
      <c r="V376" s="57">
        <f t="shared" ca="1" si="340"/>
        <v>69.83194218641755</v>
      </c>
    </row>
    <row r="377" spans="2:22" ht="13.5" customHeight="1" outlineLevel="1">
      <c r="B377" s="52" t="s">
        <v>269</v>
      </c>
      <c r="C377" s="52"/>
      <c r="D377" s="52"/>
      <c r="E377" s="87">
        <f>SUM(E373:E376)</f>
        <v>95.174999999999997</v>
      </c>
      <c r="F377" s="87">
        <f t="shared" ref="F377:J377" si="341">SUM(F373:F376)</f>
        <v>97.610923217550265</v>
      </c>
      <c r="G377" s="87">
        <f t="shared" si="341"/>
        <v>98.828884826325407</v>
      </c>
      <c r="H377" s="87">
        <f t="shared" si="341"/>
        <v>100.04684643510055</v>
      </c>
      <c r="I377" s="87">
        <f t="shared" si="341"/>
        <v>101.61279707495429</v>
      </c>
      <c r="J377" s="87">
        <f t="shared" ca="1" si="341"/>
        <v>100.04684643510055</v>
      </c>
      <c r="K377" s="220">
        <f t="shared" ref="K377" ca="1" si="342">SUM(K373:K376)</f>
        <v>0</v>
      </c>
      <c r="L377" s="87">
        <f t="shared" ref="L377:M377" ca="1" si="343">SUM(L373:L376)</f>
        <v>100.04684643510055</v>
      </c>
      <c r="M377" s="87">
        <f t="shared" ca="1" si="343"/>
        <v>108.65957495429616</v>
      </c>
      <c r="N377" s="87">
        <f t="shared" ref="N377:V377" ca="1" si="344">SUM(N373:N376)</f>
        <v>105.35367915904934</v>
      </c>
      <c r="O377" s="87">
        <f t="shared" ca="1" si="344"/>
        <v>105.35367915904936</v>
      </c>
      <c r="P377" s="87">
        <f t="shared" ca="1" si="344"/>
        <v>106.33296688827278</v>
      </c>
      <c r="Q377" s="87">
        <f t="shared" ca="1" si="344"/>
        <v>107.32099639956367</v>
      </c>
      <c r="R377" s="87">
        <f t="shared" ca="1" si="344"/>
        <v>108.31784572795856</v>
      </c>
      <c r="S377" s="87">
        <f t="shared" ca="1" si="344"/>
        <v>109.32359360508723</v>
      </c>
      <c r="T377" s="87">
        <f t="shared" ca="1" si="344"/>
        <v>110.33831946539115</v>
      </c>
      <c r="U377" s="87">
        <f t="shared" ca="1" si="344"/>
        <v>111.36210345239704</v>
      </c>
      <c r="V377" s="87">
        <f t="shared" ca="1" si="344"/>
        <v>112.39502642504677</v>
      </c>
    </row>
    <row r="378" spans="2:22" s="80" customFormat="1" ht="13.5" customHeight="1" outlineLevel="1">
      <c r="B378" s="221" t="s">
        <v>168</v>
      </c>
      <c r="C378" s="221"/>
      <c r="D378" s="222"/>
      <c r="E378" s="222">
        <f t="shared" ref="E378:K378" si="345">E372-E377</f>
        <v>44.491000000000028</v>
      </c>
      <c r="F378" s="222">
        <f t="shared" si="345"/>
        <v>44.365915312199661</v>
      </c>
      <c r="G378" s="222">
        <f t="shared" si="345"/>
        <v>46.080378849274155</v>
      </c>
      <c r="H378" s="222">
        <f t="shared" si="345"/>
        <v>46.815487325430155</v>
      </c>
      <c r="I378" s="222">
        <f t="shared" si="345"/>
        <v>47.60224053155234</v>
      </c>
      <c r="J378" s="222">
        <f t="shared" ca="1" si="345"/>
        <v>46.815487325430155</v>
      </c>
      <c r="K378" s="105">
        <f t="shared" ca="1" si="345"/>
        <v>0</v>
      </c>
      <c r="L378" s="222">
        <f t="shared" ref="L378:V378" ca="1" si="346">L372-L377</f>
        <v>46.815487325430155</v>
      </c>
      <c r="M378" s="222">
        <f t="shared" ca="1" si="346"/>
        <v>44.859974851323315</v>
      </c>
      <c r="N378" s="222">
        <f t="shared" ca="1" si="346"/>
        <v>48.650178642043414</v>
      </c>
      <c r="O378" s="222">
        <f t="shared" ca="1" si="346"/>
        <v>49.943666458350776</v>
      </c>
      <c r="P378" s="222">
        <f t="shared" ca="1" si="346"/>
        <v>50.354022314256611</v>
      </c>
      <c r="Q378" s="222">
        <f t="shared" ca="1" si="346"/>
        <v>50.768041283010049</v>
      </c>
      <c r="R378" s="222">
        <f t="shared" ca="1" si="346"/>
        <v>51.185756064024346</v>
      </c>
      <c r="S378" s="222">
        <f t="shared" ca="1" si="346"/>
        <v>51.607199648609949</v>
      </c>
      <c r="T378" s="222">
        <f t="shared" ca="1" si="346"/>
        <v>52.032405322579706</v>
      </c>
      <c r="U378" s="222">
        <f t="shared" ca="1" si="346"/>
        <v>52.461406668878197</v>
      </c>
      <c r="V378" s="222">
        <f t="shared" ca="1" si="346"/>
        <v>52.894237570233983</v>
      </c>
    </row>
    <row r="379" spans="2:22" s="35" customFormat="1" ht="13.5" customHeight="1" outlineLevel="1">
      <c r="K379" s="212"/>
    </row>
    <row r="380" spans="2:22" s="35" customFormat="1" ht="13.5" customHeight="1" outlineLevel="1">
      <c r="B380" s="46" t="s">
        <v>197</v>
      </c>
      <c r="C380" s="47"/>
      <c r="D380" s="47"/>
      <c r="E380" s="47"/>
      <c r="F380" s="47"/>
      <c r="G380" s="47"/>
      <c r="H380" s="47"/>
      <c r="I380" s="47"/>
      <c r="J380" s="47"/>
      <c r="K380" s="47"/>
      <c r="L380" s="47"/>
      <c r="M380" s="47"/>
      <c r="N380" s="47"/>
      <c r="O380" s="47"/>
      <c r="P380" s="47"/>
      <c r="Q380" s="47"/>
      <c r="R380" s="47"/>
      <c r="S380" s="47"/>
      <c r="T380" s="47"/>
      <c r="U380" s="47"/>
      <c r="V380" s="48"/>
    </row>
    <row r="381" spans="2:22" s="35" customFormat="1" ht="5.0999999999999996" customHeight="1" outlineLevel="1">
      <c r="B381" s="38"/>
      <c r="C381" s="38"/>
      <c r="D381" s="38"/>
      <c r="E381" s="38"/>
      <c r="F381" s="38"/>
      <c r="G381" s="38"/>
      <c r="H381" s="38"/>
      <c r="J381" s="38"/>
      <c r="K381" s="223"/>
      <c r="L381" s="38"/>
      <c r="M381" s="38"/>
      <c r="N381" s="38"/>
      <c r="O381" s="38"/>
      <c r="P381" s="38"/>
      <c r="Q381" s="38"/>
      <c r="R381" s="38"/>
      <c r="S381" s="38"/>
      <c r="T381" s="38"/>
      <c r="U381" s="38"/>
      <c r="V381" s="38"/>
    </row>
    <row r="382" spans="2:22" ht="13.5" customHeight="1" outlineLevel="1">
      <c r="B382" s="38" t="s">
        <v>73</v>
      </c>
      <c r="D382" s="54"/>
      <c r="E382" s="54">
        <f t="shared" ref="E382:I383" si="347">E150</f>
        <v>106.7</v>
      </c>
      <c r="F382" s="54">
        <f t="shared" si="347"/>
        <v>108.405</v>
      </c>
      <c r="G382" s="54">
        <f t="shared" si="347"/>
        <v>110.7</v>
      </c>
      <c r="H382" s="54">
        <f t="shared" si="347"/>
        <v>112.2</v>
      </c>
      <c r="I382" s="54">
        <f t="shared" si="347"/>
        <v>114</v>
      </c>
      <c r="J382" s="213">
        <f ca="1">OFFSET(D382,0,MATCH(J$364,E$364:I$364))</f>
        <v>112.2</v>
      </c>
      <c r="K382" s="223"/>
      <c r="L382" s="213">
        <f ca="1">J382</f>
        <v>112.2</v>
      </c>
      <c r="M382" s="54">
        <f t="shared" ref="M382:V382" si="348">M150</f>
        <v>351</v>
      </c>
      <c r="N382" s="54">
        <f t="shared" ca="1" si="348"/>
        <v>470.5</v>
      </c>
      <c r="O382" s="54">
        <f t="shared" ca="1" si="348"/>
        <v>474.69999999999993</v>
      </c>
      <c r="P382" s="54">
        <f t="shared" ca="1" si="348"/>
        <v>478.93749202975545</v>
      </c>
      <c r="Q382" s="54">
        <f t="shared" ca="1" si="348"/>
        <v>483.21281076838449</v>
      </c>
      <c r="R382" s="54">
        <f t="shared" ca="1" si="348"/>
        <v>487.52629388257617</v>
      </c>
      <c r="S382" s="54">
        <f t="shared" ca="1" si="348"/>
        <v>491.87828205326014</v>
      </c>
      <c r="T382" s="54">
        <f t="shared" ca="1" si="348"/>
        <v>496.26911900251343</v>
      </c>
      <c r="U382" s="54">
        <f t="shared" ca="1" si="348"/>
        <v>500.69915152070797</v>
      </c>
      <c r="V382" s="54">
        <f t="shared" ca="1" si="348"/>
        <v>505.16872949390023</v>
      </c>
    </row>
    <row r="383" spans="2:22" ht="13.5" customHeight="1" outlineLevel="1">
      <c r="B383" s="38" t="s">
        <v>28</v>
      </c>
      <c r="D383" s="57"/>
      <c r="E383" s="57">
        <f t="shared" si="347"/>
        <v>54.7</v>
      </c>
      <c r="F383" s="57">
        <f t="shared" si="347"/>
        <v>56.1</v>
      </c>
      <c r="G383" s="57">
        <f t="shared" si="347"/>
        <v>56.8</v>
      </c>
      <c r="H383" s="57">
        <f t="shared" si="347"/>
        <v>57.5</v>
      </c>
      <c r="I383" s="57">
        <f t="shared" si="347"/>
        <v>58.4</v>
      </c>
      <c r="J383" s="113">
        <f ca="1">OFFSET(D383,0,MATCH(J$364,E$364:I$364))</f>
        <v>57.5</v>
      </c>
      <c r="K383" s="253"/>
      <c r="L383" s="113">
        <f ca="1">J383</f>
        <v>57.5</v>
      </c>
      <c r="M383" s="57">
        <f t="shared" ref="M383:V383" ca="1" si="349">M151</f>
        <v>187.35000000000002</v>
      </c>
      <c r="N383" s="57">
        <f t="shared" ca="1" si="349"/>
        <v>242.19999999999996</v>
      </c>
      <c r="O383" s="57">
        <f t="shared" ca="1" si="349"/>
        <v>242.20000000000002</v>
      </c>
      <c r="P383" s="57">
        <f t="shared" ca="1" si="349"/>
        <v>244.45130712008495</v>
      </c>
      <c r="Q383" s="57">
        <f t="shared" ca="1" si="349"/>
        <v>246.72271092434497</v>
      </c>
      <c r="R383" s="57">
        <f t="shared" ca="1" si="349"/>
        <v>249.01439080932317</v>
      </c>
      <c r="S383" s="57">
        <f t="shared" ca="1" si="349"/>
        <v>251.32652777297702</v>
      </c>
      <c r="T383" s="57">
        <f t="shared" ca="1" si="349"/>
        <v>253.65930442897385</v>
      </c>
      <c r="U383" s="57">
        <f t="shared" ca="1" si="349"/>
        <v>256.01290502111345</v>
      </c>
      <c r="V383" s="57">
        <f t="shared" ca="1" si="349"/>
        <v>258.38751543788004</v>
      </c>
    </row>
    <row r="384" spans="2:22" ht="13.5" customHeight="1" outlineLevel="1">
      <c r="B384" s="38" t="s">
        <v>507</v>
      </c>
      <c r="D384" s="57"/>
      <c r="E384" s="57"/>
      <c r="F384" s="57">
        <f>F369-E369+F383</f>
        <v>56.1</v>
      </c>
      <c r="G384" s="57">
        <f t="shared" ref="G384:I384" si="350">G369-F369+G383</f>
        <v>56.8</v>
      </c>
      <c r="H384" s="57">
        <f t="shared" si="350"/>
        <v>57.5</v>
      </c>
      <c r="I384" s="57">
        <f t="shared" si="350"/>
        <v>58.4</v>
      </c>
      <c r="J384" s="113">
        <f ca="1">OFFSET(D384,0,MATCH(J$364,E$364:I$364))</f>
        <v>57.5</v>
      </c>
      <c r="K384" s="253"/>
      <c r="L384" s="113">
        <f ca="1">J384</f>
        <v>57.5</v>
      </c>
      <c r="M384" s="57">
        <f t="shared" ref="M384" ca="1" si="351">M369-L369+M383</f>
        <v>187.35000000000002</v>
      </c>
      <c r="N384" s="57">
        <f t="shared" ref="N384" ca="1" si="352">N369-M369+N383</f>
        <v>242.19999999999996</v>
      </c>
      <c r="O384" s="57">
        <f t="shared" ref="O384" ca="1" si="353">O369-N369+O383</f>
        <v>242.20000000000002</v>
      </c>
      <c r="P384" s="57">
        <f t="shared" ref="P384" ca="1" si="354">P369-O369+P383</f>
        <v>244.45130712008495</v>
      </c>
      <c r="Q384" s="57">
        <f t="shared" ref="Q384" ca="1" si="355">Q369-P369+Q383</f>
        <v>246.72271092434497</v>
      </c>
      <c r="R384" s="57">
        <f t="shared" ref="R384" ca="1" si="356">R369-Q369+R383</f>
        <v>249.01439080932317</v>
      </c>
      <c r="S384" s="57">
        <f t="shared" ref="S384" ca="1" si="357">S369-R369+S383</f>
        <v>251.32652777297702</v>
      </c>
      <c r="T384" s="57">
        <f t="shared" ref="T384" ca="1" si="358">T369-S369+T383</f>
        <v>253.65930442897385</v>
      </c>
      <c r="U384" s="57">
        <f t="shared" ref="U384" ca="1" si="359">U369-T369+U383</f>
        <v>256.01290502111345</v>
      </c>
      <c r="V384" s="57">
        <f t="shared" ref="V384" ca="1" si="360">V369-U369+V383</f>
        <v>258.38751543788004</v>
      </c>
    </row>
    <row r="385" spans="2:22" s="35" customFormat="1" ht="13.5" customHeight="1" outlineLevel="1">
      <c r="B385" s="38"/>
      <c r="C385" s="38"/>
      <c r="D385" s="254" t="s">
        <v>506</v>
      </c>
      <c r="E385" s="38"/>
      <c r="F385" s="38"/>
      <c r="G385" s="38"/>
      <c r="H385" s="38"/>
      <c r="J385" s="255"/>
      <c r="K385" s="223"/>
      <c r="L385" s="255"/>
      <c r="M385" s="38"/>
      <c r="N385" s="38"/>
      <c r="O385" s="38"/>
      <c r="P385" s="38"/>
      <c r="Q385" s="38"/>
      <c r="R385" s="38"/>
      <c r="S385" s="38"/>
      <c r="T385" s="38"/>
      <c r="U385" s="38"/>
      <c r="V385" s="38"/>
    </row>
    <row r="386" spans="2:22" s="35" customFormat="1" ht="13.5" customHeight="1" outlineLevel="1">
      <c r="B386" s="62" t="str">
        <f>B368&amp;" / "&amp;CHOOSE(D386,"sales","COGS")</f>
        <v>Accounts receivable / sales</v>
      </c>
      <c r="D386" s="525">
        <v>1</v>
      </c>
      <c r="E386" s="256">
        <f>E368/(CHOOSE($D386,E$382,E$383)/E$148)</f>
        <v>0.30797328959700093</v>
      </c>
      <c r="F386" s="58">
        <f t="shared" ref="F386:V389" si="361">E386</f>
        <v>0.30797328959700093</v>
      </c>
      <c r="G386" s="58">
        <f t="shared" si="361"/>
        <v>0.30797328959700093</v>
      </c>
      <c r="H386" s="58">
        <f t="shared" si="361"/>
        <v>0.30797328959700093</v>
      </c>
      <c r="I386" s="58">
        <f t="shared" si="361"/>
        <v>0.30797328959700093</v>
      </c>
      <c r="J386" s="202">
        <f ca="1">OFFSET(D386,0,MATCH(J$364,E$364:I$364))</f>
        <v>0.30797328959700093</v>
      </c>
      <c r="K386" s="257"/>
      <c r="L386" s="202">
        <f ca="1">L368/L$382*L148</f>
        <v>0.30797328959700088</v>
      </c>
      <c r="M386" s="58">
        <f t="shared" ca="1" si="361"/>
        <v>0.30797328959700088</v>
      </c>
      <c r="N386" s="58">
        <f t="shared" ca="1" si="361"/>
        <v>0.30797328959700088</v>
      </c>
      <c r="O386" s="58">
        <f t="shared" ca="1" si="361"/>
        <v>0.30797328959700088</v>
      </c>
      <c r="P386" s="58">
        <f t="shared" ca="1" si="361"/>
        <v>0.30797328959700088</v>
      </c>
      <c r="Q386" s="58">
        <f t="shared" ca="1" si="361"/>
        <v>0.30797328959700088</v>
      </c>
      <c r="R386" s="58">
        <f t="shared" ca="1" si="361"/>
        <v>0.30797328959700088</v>
      </c>
      <c r="S386" s="58">
        <f t="shared" ca="1" si="361"/>
        <v>0.30797328959700088</v>
      </c>
      <c r="T386" s="58">
        <f t="shared" ca="1" si="361"/>
        <v>0.30797328959700088</v>
      </c>
      <c r="U386" s="58">
        <f t="shared" ca="1" si="361"/>
        <v>0.30797328959700088</v>
      </c>
      <c r="V386" s="58">
        <f t="shared" ca="1" si="361"/>
        <v>0.30797328959700088</v>
      </c>
    </row>
    <row r="387" spans="2:22" s="35" customFormat="1" ht="13.5" customHeight="1" outlineLevel="1">
      <c r="B387" s="62" t="str">
        <f>B369&amp;" / "&amp;CHOOSE(D387,"sales","COGS")</f>
        <v>Inventories / COGS</v>
      </c>
      <c r="D387" s="525">
        <v>2</v>
      </c>
      <c r="E387" s="256">
        <f>E369/(CHOOSE($D387,E$382,E$383)/E$148)</f>
        <v>0</v>
      </c>
      <c r="F387" s="58">
        <f t="shared" ref="F387:S387" si="362">E387</f>
        <v>0</v>
      </c>
      <c r="G387" s="58">
        <f t="shared" si="362"/>
        <v>0</v>
      </c>
      <c r="H387" s="58">
        <f t="shared" si="362"/>
        <v>0</v>
      </c>
      <c r="I387" s="58">
        <f t="shared" si="362"/>
        <v>0</v>
      </c>
      <c r="J387" s="202">
        <f ca="1">OFFSET(D387,0,MATCH(J$364,E$364:I$364))</f>
        <v>0</v>
      </c>
      <c r="K387" s="257"/>
      <c r="L387" s="202">
        <f ca="1">L369/L$383*L148</f>
        <v>0</v>
      </c>
      <c r="M387" s="58">
        <f t="shared" ca="1" si="362"/>
        <v>0</v>
      </c>
      <c r="N387" s="58">
        <f t="shared" ca="1" si="362"/>
        <v>0</v>
      </c>
      <c r="O387" s="58">
        <f t="shared" ca="1" si="362"/>
        <v>0</v>
      </c>
      <c r="P387" s="58">
        <f t="shared" ca="1" si="362"/>
        <v>0</v>
      </c>
      <c r="Q387" s="58">
        <f t="shared" ca="1" si="362"/>
        <v>0</v>
      </c>
      <c r="R387" s="58">
        <f t="shared" ca="1" si="362"/>
        <v>0</v>
      </c>
      <c r="S387" s="58">
        <f t="shared" ca="1" si="362"/>
        <v>0</v>
      </c>
      <c r="T387" s="58">
        <f t="shared" ca="1" si="361"/>
        <v>0</v>
      </c>
      <c r="U387" s="58">
        <f t="shared" ca="1" si="361"/>
        <v>0</v>
      </c>
      <c r="V387" s="58">
        <f t="shared" ca="1" si="361"/>
        <v>0</v>
      </c>
    </row>
    <row r="388" spans="2:22" s="35" customFormat="1" ht="13.5" customHeight="1" outlineLevel="1">
      <c r="B388" s="62" t="str">
        <f>B370&amp;" / "&amp;CHOOSE(D388,"sales","COGS")</f>
        <v>Deferred tax asset, current / sales</v>
      </c>
      <c r="D388" s="525">
        <v>1</v>
      </c>
      <c r="E388" s="256">
        <f>E370/(CHOOSE($D388,E$382,E$383)/E$148)</f>
        <v>0</v>
      </c>
      <c r="F388" s="58">
        <f t="shared" si="361"/>
        <v>0</v>
      </c>
      <c r="G388" s="58">
        <f t="shared" si="361"/>
        <v>0</v>
      </c>
      <c r="H388" s="58">
        <f t="shared" si="361"/>
        <v>0</v>
      </c>
      <c r="I388" s="58">
        <f t="shared" si="361"/>
        <v>0</v>
      </c>
      <c r="J388" s="202">
        <f ca="1">OFFSET(D388,0,MATCH(J$364,E$364:I$364))</f>
        <v>0</v>
      </c>
      <c r="K388" s="257"/>
      <c r="L388" s="202">
        <f ca="1">L370/L$382*L148</f>
        <v>0</v>
      </c>
      <c r="M388" s="58">
        <f t="shared" ca="1" si="361"/>
        <v>0</v>
      </c>
      <c r="N388" s="58">
        <f t="shared" ca="1" si="361"/>
        <v>0</v>
      </c>
      <c r="O388" s="58">
        <f t="shared" ca="1" si="361"/>
        <v>0</v>
      </c>
      <c r="P388" s="58">
        <f t="shared" ca="1" si="361"/>
        <v>0</v>
      </c>
      <c r="Q388" s="58">
        <f t="shared" ca="1" si="361"/>
        <v>0</v>
      </c>
      <c r="R388" s="58">
        <f t="shared" ca="1" si="361"/>
        <v>0</v>
      </c>
      <c r="S388" s="58">
        <f t="shared" ca="1" si="361"/>
        <v>0</v>
      </c>
      <c r="T388" s="58">
        <f t="shared" ca="1" si="361"/>
        <v>0</v>
      </c>
      <c r="U388" s="58">
        <f t="shared" ca="1" si="361"/>
        <v>0</v>
      </c>
      <c r="V388" s="58">
        <f t="shared" ca="1" si="361"/>
        <v>0</v>
      </c>
    </row>
    <row r="389" spans="2:22" s="35" customFormat="1" ht="13.5" customHeight="1" outlineLevel="1">
      <c r="B389" s="62" t="str">
        <f>B371&amp;" / "&amp;CHOOSE(D389,"sales","COGS")</f>
        <v>Prepaid expenses &amp; other / COGS</v>
      </c>
      <c r="D389" s="525">
        <v>2</v>
      </c>
      <c r="E389" s="256">
        <f>E371/(CHOOSE($D389,E$382,E$383)/E$148)</f>
        <v>3.7582266910420478E-2</v>
      </c>
      <c r="F389" s="58">
        <f t="shared" si="361"/>
        <v>3.7582266910420478E-2</v>
      </c>
      <c r="G389" s="58">
        <f t="shared" si="361"/>
        <v>3.7582266910420478E-2</v>
      </c>
      <c r="H389" s="58">
        <f t="shared" si="361"/>
        <v>3.7582266910420478E-2</v>
      </c>
      <c r="I389" s="58">
        <f t="shared" si="361"/>
        <v>3.7582266910420478E-2</v>
      </c>
      <c r="J389" s="202">
        <f ca="1">OFFSET(D389,0,MATCH(J$364,E$364:I$364))</f>
        <v>3.7582266910420478E-2</v>
      </c>
      <c r="K389" s="257"/>
      <c r="L389" s="202">
        <f ca="1">L371/L$383*L148</f>
        <v>3.7582266910420478E-2</v>
      </c>
      <c r="M389" s="58">
        <f t="shared" ca="1" si="361"/>
        <v>3.7582266910420478E-2</v>
      </c>
      <c r="N389" s="58">
        <f t="shared" ca="1" si="361"/>
        <v>3.7582266910420478E-2</v>
      </c>
      <c r="O389" s="58">
        <f t="shared" ca="1" si="361"/>
        <v>3.7582266910420478E-2</v>
      </c>
      <c r="P389" s="58">
        <f t="shared" ca="1" si="361"/>
        <v>3.7582266910420478E-2</v>
      </c>
      <c r="Q389" s="58">
        <f t="shared" ca="1" si="361"/>
        <v>3.7582266910420478E-2</v>
      </c>
      <c r="R389" s="58">
        <f t="shared" ca="1" si="361"/>
        <v>3.7582266910420478E-2</v>
      </c>
      <c r="S389" s="58">
        <f t="shared" ca="1" si="361"/>
        <v>3.7582266910420478E-2</v>
      </c>
      <c r="T389" s="58">
        <f t="shared" ca="1" si="361"/>
        <v>3.7582266910420478E-2</v>
      </c>
      <c r="U389" s="58">
        <f t="shared" ca="1" si="361"/>
        <v>3.7582266910420478E-2</v>
      </c>
      <c r="V389" s="58">
        <f t="shared" ca="1" si="361"/>
        <v>3.7582266910420478E-2</v>
      </c>
    </row>
    <row r="390" spans="2:22" s="35" customFormat="1" ht="13.5" customHeight="1" outlineLevel="1">
      <c r="D390" s="258"/>
      <c r="E390" s="229"/>
      <c r="J390" s="229"/>
      <c r="K390" s="212"/>
      <c r="L390" s="229"/>
    </row>
    <row r="391" spans="2:22" s="35" customFormat="1" ht="13.5" customHeight="1" outlineLevel="1">
      <c r="B391" s="35" t="str">
        <f>B373&amp;" / "&amp;CHOOSE(D391,"sales","COGS")</f>
        <v>Accounts payable / COGS</v>
      </c>
      <c r="D391" s="525">
        <v>2</v>
      </c>
      <c r="E391" s="256">
        <f>E373/(CHOOSE($D391,E$382,E$383)/E$148)</f>
        <v>9.4433272394881154E-2</v>
      </c>
      <c r="F391" s="58">
        <f t="shared" ref="F391:V391" si="363">E391</f>
        <v>9.4433272394881154E-2</v>
      </c>
      <c r="G391" s="58">
        <f t="shared" si="363"/>
        <v>9.4433272394881154E-2</v>
      </c>
      <c r="H391" s="58">
        <f t="shared" si="363"/>
        <v>9.4433272394881154E-2</v>
      </c>
      <c r="I391" s="58">
        <f t="shared" si="363"/>
        <v>9.4433272394881154E-2</v>
      </c>
      <c r="J391" s="202">
        <f ca="1">OFFSET(D391,0,MATCH(J$364,E$364:I$364))</f>
        <v>9.4433272394881154E-2</v>
      </c>
      <c r="K391" s="257"/>
      <c r="L391" s="202">
        <f ca="1">L373/L$383*L148</f>
        <v>9.4433272394881154E-2</v>
      </c>
      <c r="M391" s="58">
        <f t="shared" ca="1" si="363"/>
        <v>9.4433272394881154E-2</v>
      </c>
      <c r="N391" s="58">
        <f t="shared" ca="1" si="363"/>
        <v>9.4433272394881154E-2</v>
      </c>
      <c r="O391" s="58">
        <f t="shared" ca="1" si="363"/>
        <v>9.4433272394881154E-2</v>
      </c>
      <c r="P391" s="58">
        <f t="shared" ca="1" si="363"/>
        <v>9.4433272394881154E-2</v>
      </c>
      <c r="Q391" s="58">
        <f t="shared" ca="1" si="363"/>
        <v>9.4433272394881154E-2</v>
      </c>
      <c r="R391" s="58">
        <f t="shared" ca="1" si="363"/>
        <v>9.4433272394881154E-2</v>
      </c>
      <c r="S391" s="58">
        <f t="shared" ca="1" si="363"/>
        <v>9.4433272394881154E-2</v>
      </c>
      <c r="T391" s="58">
        <f t="shared" ca="1" si="363"/>
        <v>9.4433272394881154E-2</v>
      </c>
      <c r="U391" s="58">
        <f t="shared" ca="1" si="363"/>
        <v>9.4433272394881154E-2</v>
      </c>
      <c r="V391" s="58">
        <f t="shared" ca="1" si="363"/>
        <v>9.4433272394881154E-2</v>
      </c>
    </row>
    <row r="392" spans="2:22" s="35" customFormat="1" ht="13.5" customHeight="1" outlineLevel="1">
      <c r="B392" s="35" t="str">
        <f>B374&amp;" / "&amp;CHOOSE(D392,"sales","COGS")</f>
        <v>Accrued liabilities / COGS</v>
      </c>
      <c r="D392" s="525">
        <v>2</v>
      </c>
      <c r="E392" s="256">
        <f>E374/(CHOOSE($D392,E$382,E$383)/E$148)</f>
        <v>7.0292504570383912E-2</v>
      </c>
      <c r="F392" s="58">
        <f t="shared" ref="F392:V392" si="364">E392</f>
        <v>7.0292504570383912E-2</v>
      </c>
      <c r="G392" s="58">
        <f t="shared" si="364"/>
        <v>7.0292504570383912E-2</v>
      </c>
      <c r="H392" s="58">
        <f t="shared" si="364"/>
        <v>7.0292504570383912E-2</v>
      </c>
      <c r="I392" s="58">
        <f t="shared" si="364"/>
        <v>7.0292504570383912E-2</v>
      </c>
      <c r="J392" s="202">
        <f ca="1">OFFSET(D392,0,MATCH(J$364,E$364:I$364))</f>
        <v>7.0292504570383912E-2</v>
      </c>
      <c r="K392" s="257"/>
      <c r="L392" s="202">
        <f ca="1">L374/L$383*L148</f>
        <v>7.0292504570383912E-2</v>
      </c>
      <c r="M392" s="58">
        <f t="shared" ca="1" si="364"/>
        <v>7.0292504570383912E-2</v>
      </c>
      <c r="N392" s="58">
        <f t="shared" ca="1" si="364"/>
        <v>7.0292504570383912E-2</v>
      </c>
      <c r="O392" s="58">
        <f t="shared" ca="1" si="364"/>
        <v>7.0292504570383912E-2</v>
      </c>
      <c r="P392" s="58">
        <f t="shared" ca="1" si="364"/>
        <v>7.0292504570383912E-2</v>
      </c>
      <c r="Q392" s="58">
        <f t="shared" ca="1" si="364"/>
        <v>7.0292504570383912E-2</v>
      </c>
      <c r="R392" s="58">
        <f t="shared" ca="1" si="364"/>
        <v>7.0292504570383912E-2</v>
      </c>
      <c r="S392" s="58">
        <f t="shared" ca="1" si="364"/>
        <v>7.0292504570383912E-2</v>
      </c>
      <c r="T392" s="58">
        <f t="shared" ca="1" si="364"/>
        <v>7.0292504570383912E-2</v>
      </c>
      <c r="U392" s="58">
        <f t="shared" ca="1" si="364"/>
        <v>7.0292504570383912E-2</v>
      </c>
      <c r="V392" s="58">
        <f t="shared" ca="1" si="364"/>
        <v>7.0292504570383912E-2</v>
      </c>
    </row>
    <row r="393" spans="2:22" s="35" customFormat="1" ht="13.5" customHeight="1" outlineLevel="1">
      <c r="B393" s="35" t="str">
        <f>B375&amp;" / "&amp;CHOOSE(D393,"sales","COGS")</f>
        <v>Client deposits / sales</v>
      </c>
      <c r="D393" s="525">
        <v>1</v>
      </c>
      <c r="E393" s="256">
        <f>E375/(CHOOSE($D393,E$382,E$383)/E$148)</f>
        <v>0</v>
      </c>
      <c r="F393" s="58">
        <f t="shared" ref="F393:V393" si="365">E393</f>
        <v>0</v>
      </c>
      <c r="G393" s="58">
        <f t="shared" si="365"/>
        <v>0</v>
      </c>
      <c r="H393" s="58">
        <f t="shared" si="365"/>
        <v>0</v>
      </c>
      <c r="I393" s="58">
        <f t="shared" si="365"/>
        <v>0</v>
      </c>
      <c r="J393" s="202">
        <f ca="1">OFFSET(D393,0,MATCH(J$364,E$364:I$364))</f>
        <v>0</v>
      </c>
      <c r="K393" s="257"/>
      <c r="L393" s="202">
        <f ca="1">L375/L$382*L148</f>
        <v>0</v>
      </c>
      <c r="M393" s="58">
        <f t="shared" ca="1" si="365"/>
        <v>0</v>
      </c>
      <c r="N393" s="58">
        <f t="shared" ca="1" si="365"/>
        <v>0</v>
      </c>
      <c r="O393" s="58">
        <f t="shared" ca="1" si="365"/>
        <v>0</v>
      </c>
      <c r="P393" s="58">
        <f t="shared" ca="1" si="365"/>
        <v>0</v>
      </c>
      <c r="Q393" s="58">
        <f t="shared" ca="1" si="365"/>
        <v>0</v>
      </c>
      <c r="R393" s="58">
        <f t="shared" ca="1" si="365"/>
        <v>0</v>
      </c>
      <c r="S393" s="58">
        <f t="shared" ca="1" si="365"/>
        <v>0</v>
      </c>
      <c r="T393" s="58">
        <f t="shared" ca="1" si="365"/>
        <v>0</v>
      </c>
      <c r="U393" s="58">
        <f t="shared" ca="1" si="365"/>
        <v>0</v>
      </c>
      <c r="V393" s="58">
        <f t="shared" ca="1" si="365"/>
        <v>0</v>
      </c>
    </row>
    <row r="394" spans="2:22" s="35" customFormat="1" ht="13.5" customHeight="1" outlineLevel="1">
      <c r="B394" s="35" t="str">
        <f>B376&amp;" / "&amp;CHOOSE(D394,"sales","COGS")</f>
        <v>Other current liabilities / COGS</v>
      </c>
      <c r="D394" s="525">
        <v>2</v>
      </c>
      <c r="E394" s="256">
        <f>E376/(CHOOSE($D394,E$382,E$383)/E$148)</f>
        <v>0.27026051188299816</v>
      </c>
      <c r="F394" s="58">
        <f t="shared" ref="F394:V394" si="366">E394</f>
        <v>0.27026051188299816</v>
      </c>
      <c r="G394" s="58">
        <f t="shared" si="366"/>
        <v>0.27026051188299816</v>
      </c>
      <c r="H394" s="58">
        <f t="shared" si="366"/>
        <v>0.27026051188299816</v>
      </c>
      <c r="I394" s="58">
        <f t="shared" si="366"/>
        <v>0.27026051188299816</v>
      </c>
      <c r="J394" s="202">
        <f ca="1">OFFSET(D394,0,MATCH(J$364,E$364:I$364))</f>
        <v>0.27026051188299816</v>
      </c>
      <c r="K394" s="257"/>
      <c r="L394" s="202">
        <f ca="1">L376/L$383*L148</f>
        <v>0.27026051188299816</v>
      </c>
      <c r="M394" s="58">
        <f t="shared" ca="1" si="366"/>
        <v>0.27026051188299816</v>
      </c>
      <c r="N394" s="58">
        <f t="shared" ca="1" si="366"/>
        <v>0.27026051188299816</v>
      </c>
      <c r="O394" s="58">
        <f t="shared" ca="1" si="366"/>
        <v>0.27026051188299816</v>
      </c>
      <c r="P394" s="58">
        <f t="shared" ca="1" si="366"/>
        <v>0.27026051188299816</v>
      </c>
      <c r="Q394" s="58">
        <f t="shared" ca="1" si="366"/>
        <v>0.27026051188299816</v>
      </c>
      <c r="R394" s="58">
        <f t="shared" ca="1" si="366"/>
        <v>0.27026051188299816</v>
      </c>
      <c r="S394" s="58">
        <f t="shared" ca="1" si="366"/>
        <v>0.27026051188299816</v>
      </c>
      <c r="T394" s="58">
        <f t="shared" ca="1" si="366"/>
        <v>0.27026051188299816</v>
      </c>
      <c r="U394" s="58">
        <f t="shared" ca="1" si="366"/>
        <v>0.27026051188299816</v>
      </c>
      <c r="V394" s="58">
        <f t="shared" ca="1" si="366"/>
        <v>0.27026051188299816</v>
      </c>
    </row>
    <row r="395" spans="2:22" s="35" customFormat="1" ht="13.5" customHeight="1" outlineLevel="1">
      <c r="E395" s="259"/>
      <c r="F395" s="58"/>
      <c r="G395" s="58"/>
      <c r="H395" s="58"/>
      <c r="I395" s="58"/>
      <c r="J395" s="202"/>
      <c r="K395" s="257"/>
      <c r="L395" s="202"/>
      <c r="M395" s="58"/>
      <c r="N395" s="58"/>
      <c r="O395" s="58"/>
      <c r="P395" s="58"/>
      <c r="Q395" s="58"/>
      <c r="R395" s="58"/>
      <c r="S395" s="58"/>
      <c r="T395" s="58"/>
      <c r="U395" s="58"/>
      <c r="V395" s="58"/>
    </row>
    <row r="396" spans="2:22" s="35" customFormat="1" ht="13.5" customHeight="1" outlineLevel="1">
      <c r="B396" s="62" t="s">
        <v>508</v>
      </c>
      <c r="E396" s="259"/>
      <c r="F396" s="137">
        <f>AVERAGE(E368:F368)*365/(F382/F$148)</f>
        <v>111.52625329758064</v>
      </c>
      <c r="G396" s="137">
        <f t="shared" ref="G396:I396" si="367">AVERAGE(F368:G368)*365/(G382/G$148)</f>
        <v>111.24502249439963</v>
      </c>
      <c r="H396" s="137">
        <f t="shared" si="367"/>
        <v>111.65884528376827</v>
      </c>
      <c r="I396" s="137">
        <f t="shared" si="367"/>
        <v>111.52280135525081</v>
      </c>
      <c r="J396" s="260"/>
      <c r="K396" s="257"/>
      <c r="L396" s="202"/>
      <c r="M396" s="137">
        <f t="shared" ref="M396:V396" ca="1" si="368">AVERAGE(L368:M368)*365/(M382/M$148)</f>
        <v>110.10439940643548</v>
      </c>
      <c r="N396" s="137">
        <f t="shared" ca="1" si="368"/>
        <v>112.11160497840238</v>
      </c>
      <c r="O396" s="137">
        <f t="shared" ca="1" si="368"/>
        <v>111.91296499303364</v>
      </c>
      <c r="P396" s="137">
        <f t="shared" ca="1" si="368"/>
        <v>111.91296499303361</v>
      </c>
      <c r="Q396" s="137">
        <f t="shared" ca="1" si="368"/>
        <v>111.91296499303361</v>
      </c>
      <c r="R396" s="137">
        <f t="shared" ca="1" si="368"/>
        <v>111.91296499303363</v>
      </c>
      <c r="S396" s="137">
        <f t="shared" ca="1" si="368"/>
        <v>111.91296499303361</v>
      </c>
      <c r="T396" s="137">
        <f t="shared" ca="1" si="368"/>
        <v>111.91296499303361</v>
      </c>
      <c r="U396" s="137">
        <f t="shared" ca="1" si="368"/>
        <v>111.91296499303361</v>
      </c>
      <c r="V396" s="137">
        <f t="shared" ca="1" si="368"/>
        <v>111.9129649930336</v>
      </c>
    </row>
    <row r="397" spans="2:22" s="35" customFormat="1" ht="13.5" customHeight="1" outlineLevel="1">
      <c r="B397" s="62" t="s">
        <v>509</v>
      </c>
      <c r="E397" s="259"/>
      <c r="F397" s="137">
        <f>AVERAGE(E373:F373)*365/(F384/F$148)</f>
        <v>34.038060625613042</v>
      </c>
      <c r="G397" s="137">
        <f t="shared" ref="G397:I397" si="369">AVERAGE(F373:G373)*365/(G384/G$148)</f>
        <v>34.255752689123767</v>
      </c>
      <c r="H397" s="137">
        <f t="shared" si="369"/>
        <v>34.258338327636913</v>
      </c>
      <c r="I397" s="137">
        <f t="shared" si="369"/>
        <v>34.202550845521017</v>
      </c>
      <c r="J397" s="260"/>
      <c r="K397" s="257"/>
      <c r="L397" s="202"/>
      <c r="M397" s="137">
        <f t="shared" ref="M397:V397" ca="1" si="370">AVERAGE(L373:M373)*365/(M384/M$148)</f>
        <v>33.102113079860594</v>
      </c>
      <c r="N397" s="137">
        <f t="shared" ca="1" si="370"/>
        <v>35.008932817243512</v>
      </c>
      <c r="O397" s="137">
        <f t="shared" ca="1" si="370"/>
        <v>34.468144424131623</v>
      </c>
      <c r="P397" s="137">
        <f t="shared" ca="1" si="370"/>
        <v>34.309424923155412</v>
      </c>
      <c r="Q397" s="137">
        <f t="shared" ca="1" si="370"/>
        <v>34.309482349453859</v>
      </c>
      <c r="R397" s="137">
        <f t="shared" ca="1" si="370"/>
        <v>34.309539226671781</v>
      </c>
      <c r="S397" s="137">
        <f t="shared" ca="1" si="370"/>
        <v>34.309595560432712</v>
      </c>
      <c r="T397" s="137">
        <f t="shared" ca="1" si="370"/>
        <v>34.30965135629571</v>
      </c>
      <c r="U397" s="137">
        <f t="shared" ca="1" si="370"/>
        <v>34.309706619756291</v>
      </c>
      <c r="V397" s="137">
        <f t="shared" ca="1" si="370"/>
        <v>34.309761356247222</v>
      </c>
    </row>
    <row r="398" spans="2:22" s="35" customFormat="1" ht="13.5" customHeight="1" outlineLevel="1">
      <c r="B398" s="62" t="s">
        <v>510</v>
      </c>
      <c r="E398" s="259"/>
      <c r="F398" s="137">
        <f>AVERAGE(E369:F369)*365/(F383/F$148)</f>
        <v>0</v>
      </c>
      <c r="G398" s="137">
        <f t="shared" ref="G398:I398" si="371">AVERAGE(F369:G369)*365/(G383/G$148)</f>
        <v>0</v>
      </c>
      <c r="H398" s="137">
        <f t="shared" si="371"/>
        <v>0</v>
      </c>
      <c r="I398" s="137">
        <f t="shared" si="371"/>
        <v>0</v>
      </c>
      <c r="J398" s="260"/>
      <c r="K398" s="257"/>
      <c r="L398" s="202"/>
      <c r="M398" s="137">
        <f t="shared" ref="M398:V398" ca="1" si="372">AVERAGE(L369:M369)*365/(M383/M$148)</f>
        <v>0</v>
      </c>
      <c r="N398" s="137">
        <f t="shared" ca="1" si="372"/>
        <v>0</v>
      </c>
      <c r="O398" s="137">
        <f t="shared" ca="1" si="372"/>
        <v>0</v>
      </c>
      <c r="P398" s="137">
        <f t="shared" ca="1" si="372"/>
        <v>0</v>
      </c>
      <c r="Q398" s="137">
        <f t="shared" ca="1" si="372"/>
        <v>0</v>
      </c>
      <c r="R398" s="137">
        <f t="shared" ca="1" si="372"/>
        <v>0</v>
      </c>
      <c r="S398" s="137">
        <f t="shared" ca="1" si="372"/>
        <v>0</v>
      </c>
      <c r="T398" s="137">
        <f t="shared" ca="1" si="372"/>
        <v>0</v>
      </c>
      <c r="U398" s="137">
        <f t="shared" ca="1" si="372"/>
        <v>0</v>
      </c>
      <c r="V398" s="137">
        <f t="shared" ca="1" si="372"/>
        <v>0</v>
      </c>
    </row>
    <row r="399" spans="2:22" s="35" customFormat="1" ht="13.5" customHeight="1" outlineLevel="1">
      <c r="B399" s="62" t="s">
        <v>403</v>
      </c>
      <c r="E399" s="259"/>
      <c r="F399" s="137" t="str">
        <f>IFERROR((F383/F$148)/AVERAGE(E369:F369),"NA")</f>
        <v>NA</v>
      </c>
      <c r="G399" s="137" t="str">
        <f t="shared" ref="G399:I399" si="373">IFERROR((G383/G$148)/AVERAGE(F369:G369),"NA")</f>
        <v>NA</v>
      </c>
      <c r="H399" s="137" t="str">
        <f t="shared" si="373"/>
        <v>NA</v>
      </c>
      <c r="I399" s="137" t="str">
        <f t="shared" si="373"/>
        <v>NA</v>
      </c>
      <c r="J399" s="260"/>
      <c r="K399" s="257"/>
      <c r="L399" s="202"/>
      <c r="M399" s="137" t="str">
        <f t="shared" ref="M399:V399" ca="1" si="374">IFERROR((M383/M$148)/AVERAGE(L369:M369),"NA")</f>
        <v>NA</v>
      </c>
      <c r="N399" s="137" t="str">
        <f t="shared" ca="1" si="374"/>
        <v>NA</v>
      </c>
      <c r="O399" s="137" t="str">
        <f t="shared" ca="1" si="374"/>
        <v>NA</v>
      </c>
      <c r="P399" s="137" t="str">
        <f t="shared" ca="1" si="374"/>
        <v>NA</v>
      </c>
      <c r="Q399" s="137" t="str">
        <f t="shared" ca="1" si="374"/>
        <v>NA</v>
      </c>
      <c r="R399" s="137" t="str">
        <f t="shared" ca="1" si="374"/>
        <v>NA</v>
      </c>
      <c r="S399" s="137" t="str">
        <f t="shared" ca="1" si="374"/>
        <v>NA</v>
      </c>
      <c r="T399" s="137" t="str">
        <f t="shared" ca="1" si="374"/>
        <v>NA</v>
      </c>
      <c r="U399" s="137" t="str">
        <f t="shared" ca="1" si="374"/>
        <v>NA</v>
      </c>
      <c r="V399" s="137" t="str">
        <f t="shared" ca="1" si="374"/>
        <v>NA</v>
      </c>
    </row>
    <row r="400" spans="2:22" s="35" customFormat="1" ht="5.0999999999999996" customHeight="1" outlineLevel="1" thickBot="1">
      <c r="B400" s="121"/>
      <c r="C400" s="121"/>
      <c r="D400" s="233"/>
      <c r="E400" s="233"/>
      <c r="F400" s="234"/>
      <c r="G400" s="234"/>
      <c r="H400" s="234"/>
      <c r="I400" s="234"/>
      <c r="J400" s="233"/>
      <c r="K400" s="234"/>
      <c r="L400" s="233"/>
      <c r="M400" s="234"/>
      <c r="N400" s="234"/>
      <c r="O400" s="234"/>
      <c r="P400" s="234"/>
      <c r="Q400" s="234"/>
      <c r="R400" s="234"/>
      <c r="S400" s="234"/>
      <c r="T400" s="234"/>
      <c r="U400" s="234"/>
      <c r="V400" s="234"/>
    </row>
    <row r="401" spans="1:22" s="35" customFormat="1" ht="13.5" customHeight="1" outlineLevel="1"/>
    <row r="402" spans="1:22" s="35" customFormat="1" ht="13.5" customHeight="1" outlineLevel="1" thickBot="1"/>
    <row r="403" spans="1:22" s="35" customFormat="1" ht="20.100000000000001" customHeight="1" thickTop="1">
      <c r="A403" s="41" t="s">
        <v>426</v>
      </c>
      <c r="B403" s="42" t="s">
        <v>427</v>
      </c>
      <c r="C403" s="43"/>
      <c r="D403" s="44"/>
      <c r="E403" s="44"/>
      <c r="F403" s="44"/>
      <c r="G403" s="44"/>
      <c r="H403" s="44"/>
      <c r="I403" s="44"/>
      <c r="J403" s="44"/>
      <c r="K403" s="44"/>
      <c r="L403" s="44"/>
      <c r="M403" s="44"/>
      <c r="N403" s="44"/>
      <c r="O403" s="44"/>
      <c r="P403" s="44"/>
      <c r="Q403" s="44"/>
      <c r="R403" s="44"/>
      <c r="S403" s="44"/>
      <c r="T403" s="44"/>
      <c r="U403" s="44"/>
      <c r="V403" s="44"/>
    </row>
    <row r="404" spans="1:22" s="35" customFormat="1" ht="13.5" customHeight="1" outlineLevel="1">
      <c r="B404" s="45"/>
      <c r="V404" s="155" t="str">
        <f ca="1">err_msg</f>
        <v/>
      </c>
    </row>
    <row r="405" spans="1:22" s="203" customFormat="1" ht="13.5" customHeight="1" outlineLevel="1">
      <c r="F405" s="205" t="s">
        <v>196</v>
      </c>
      <c r="G405" s="205"/>
      <c r="H405" s="205"/>
      <c r="I405" s="205"/>
      <c r="J405" s="261"/>
      <c r="K405" s="261"/>
      <c r="L405" s="261"/>
      <c r="M405" s="126" t="str">
        <f>M$144</f>
        <v>3 Quarters</v>
      </c>
      <c r="N405" s="205" t="str">
        <f>N$144</f>
        <v>Fiscal Years Ending September 30,</v>
      </c>
      <c r="O405" s="205"/>
      <c r="P405" s="205"/>
      <c r="Q405" s="205"/>
      <c r="R405" s="205"/>
      <c r="S405" s="205"/>
      <c r="T405" s="205"/>
      <c r="U405" s="205"/>
      <c r="V405" s="205"/>
    </row>
    <row r="406" spans="1:22" s="203" customFormat="1" outlineLevel="1">
      <c r="F406" s="109" t="str">
        <f>F$145</f>
        <v>MRQ+1</v>
      </c>
      <c r="G406" s="109" t="str">
        <f t="shared" ref="G406:I406" si="375">G$145</f>
        <v>MRQ+2</v>
      </c>
      <c r="H406" s="109" t="str">
        <f t="shared" si="375"/>
        <v>MRQ+3</v>
      </c>
      <c r="I406" s="109" t="str">
        <f t="shared" si="375"/>
        <v>MRQ+4</v>
      </c>
      <c r="J406" s="261"/>
      <c r="K406" s="261"/>
      <c r="L406" s="109"/>
      <c r="M406" s="109" t="str">
        <f t="shared" ref="M406" si="376">M$145</f>
        <v>Ending</v>
      </c>
      <c r="N406" s="109">
        <f>N$145</f>
        <v>2</v>
      </c>
      <c r="O406" s="109">
        <f t="shared" ref="O406:V406" si="377">O$145</f>
        <v>3</v>
      </c>
      <c r="P406" s="109">
        <f t="shared" si="377"/>
        <v>4</v>
      </c>
      <c r="Q406" s="109">
        <f t="shared" si="377"/>
        <v>5</v>
      </c>
      <c r="R406" s="109">
        <f t="shared" si="377"/>
        <v>6</v>
      </c>
      <c r="S406" s="109">
        <f t="shared" si="377"/>
        <v>7</v>
      </c>
      <c r="T406" s="109">
        <f t="shared" si="377"/>
        <v>8</v>
      </c>
      <c r="U406" s="109">
        <f t="shared" si="377"/>
        <v>9</v>
      </c>
      <c r="V406" s="109">
        <f t="shared" si="377"/>
        <v>10</v>
      </c>
    </row>
    <row r="407" spans="1:22" s="203" customFormat="1" ht="13.5" customHeight="1" outlineLevel="1" thickBot="1">
      <c r="B407" s="130" t="s">
        <v>246</v>
      </c>
      <c r="C407" s="208"/>
      <c r="D407" s="208"/>
      <c r="E407" s="208"/>
      <c r="F407" s="209">
        <f>F$146</f>
        <v>45107</v>
      </c>
      <c r="G407" s="209">
        <f t="shared" ref="G407:I407" si="378">G$146</f>
        <v>45199</v>
      </c>
      <c r="H407" s="209">
        <f t="shared" si="378"/>
        <v>45291</v>
      </c>
      <c r="I407" s="209">
        <f t="shared" si="378"/>
        <v>45382</v>
      </c>
      <c r="J407" s="210"/>
      <c r="K407" s="210"/>
      <c r="L407" s="209"/>
      <c r="M407" s="209">
        <f t="shared" ref="M407" si="379">M$146</f>
        <v>45565</v>
      </c>
      <c r="N407" s="211">
        <f>N$146</f>
        <v>45930</v>
      </c>
      <c r="O407" s="211">
        <f t="shared" ref="O407:V407" si="380">O$146</f>
        <v>46295</v>
      </c>
      <c r="P407" s="211">
        <f t="shared" si="380"/>
        <v>46660</v>
      </c>
      <c r="Q407" s="211">
        <f t="shared" si="380"/>
        <v>47026</v>
      </c>
      <c r="R407" s="211">
        <f t="shared" si="380"/>
        <v>47391</v>
      </c>
      <c r="S407" s="211">
        <f t="shared" si="380"/>
        <v>47756</v>
      </c>
      <c r="T407" s="211">
        <f t="shared" si="380"/>
        <v>48121</v>
      </c>
      <c r="U407" s="211">
        <f t="shared" si="380"/>
        <v>48487</v>
      </c>
      <c r="V407" s="211">
        <f t="shared" si="380"/>
        <v>48852</v>
      </c>
    </row>
    <row r="408" spans="1:22" s="35" customFormat="1" ht="5.0999999999999996" customHeight="1" outlineLevel="1"/>
    <row r="409" spans="1:22" s="35" customFormat="1" ht="13.5" customHeight="1" outlineLevel="1"/>
    <row r="410" spans="1:22" s="35" customFormat="1" ht="13.5" customHeight="1" outlineLevel="1">
      <c r="B410" s="62" t="s">
        <v>428</v>
      </c>
      <c r="C410" s="262"/>
      <c r="D410" s="263"/>
      <c r="E410" s="263"/>
      <c r="F410" s="526">
        <v>0</v>
      </c>
      <c r="G410" s="526">
        <v>0</v>
      </c>
      <c r="H410" s="526">
        <v>0</v>
      </c>
      <c r="I410" s="526">
        <v>0</v>
      </c>
      <c r="J410" s="263"/>
      <c r="K410" s="263"/>
      <c r="L410" s="263"/>
      <c r="M410" s="526">
        <v>0</v>
      </c>
      <c r="N410" s="526">
        <v>0</v>
      </c>
      <c r="O410" s="526">
        <v>0</v>
      </c>
      <c r="P410" s="526">
        <v>0</v>
      </c>
      <c r="Q410" s="526">
        <v>0</v>
      </c>
      <c r="R410" s="526">
        <v>0</v>
      </c>
      <c r="S410" s="526">
        <v>0</v>
      </c>
      <c r="T410" s="526">
        <v>0</v>
      </c>
      <c r="U410" s="526">
        <v>0</v>
      </c>
      <c r="V410" s="526">
        <v>0</v>
      </c>
    </row>
    <row r="411" spans="1:22" s="35" customFormat="1" ht="13.5" customHeight="1" outlineLevel="1">
      <c r="B411" s="62" t="s">
        <v>429</v>
      </c>
      <c r="C411" s="262"/>
      <c r="D411" s="263"/>
      <c r="E411" s="263"/>
      <c r="F411" s="527">
        <v>0</v>
      </c>
      <c r="G411" s="527">
        <v>0</v>
      </c>
      <c r="H411" s="527">
        <v>0</v>
      </c>
      <c r="I411" s="527">
        <v>0</v>
      </c>
      <c r="J411" s="263"/>
      <c r="K411" s="263"/>
      <c r="L411" s="263"/>
      <c r="M411" s="527">
        <v>0</v>
      </c>
      <c r="N411" s="527">
        <v>0</v>
      </c>
      <c r="O411" s="527">
        <v>0</v>
      </c>
      <c r="P411" s="527">
        <v>0</v>
      </c>
      <c r="Q411" s="527">
        <v>0</v>
      </c>
      <c r="R411" s="527">
        <v>0</v>
      </c>
      <c r="S411" s="527">
        <v>0</v>
      </c>
      <c r="T411" s="527">
        <v>0</v>
      </c>
      <c r="U411" s="527">
        <v>0</v>
      </c>
      <c r="V411" s="527">
        <v>0</v>
      </c>
    </row>
    <row r="412" spans="1:22" s="35" customFormat="1" ht="13.5" customHeight="1" outlineLevel="1">
      <c r="B412" s="52" t="s">
        <v>430</v>
      </c>
      <c r="C412" s="52"/>
      <c r="D412" s="52"/>
      <c r="E412" s="87"/>
      <c r="F412" s="67">
        <f t="shared" ref="F412:V412" si="381">SUM(F410:F411)</f>
        <v>0</v>
      </c>
      <c r="G412" s="67">
        <f t="shared" si="381"/>
        <v>0</v>
      </c>
      <c r="H412" s="67">
        <f t="shared" si="381"/>
        <v>0</v>
      </c>
      <c r="I412" s="67">
        <f t="shared" si="381"/>
        <v>0</v>
      </c>
      <c r="J412" s="87"/>
      <c r="K412" s="87"/>
      <c r="L412" s="87"/>
      <c r="M412" s="67">
        <f t="shared" si="381"/>
        <v>0</v>
      </c>
      <c r="N412" s="67">
        <f t="shared" si="381"/>
        <v>0</v>
      </c>
      <c r="O412" s="67">
        <f t="shared" si="381"/>
        <v>0</v>
      </c>
      <c r="P412" s="67">
        <f t="shared" si="381"/>
        <v>0</v>
      </c>
      <c r="Q412" s="67">
        <f t="shared" si="381"/>
        <v>0</v>
      </c>
      <c r="R412" s="67">
        <f t="shared" si="381"/>
        <v>0</v>
      </c>
      <c r="S412" s="67">
        <f t="shared" si="381"/>
        <v>0</v>
      </c>
      <c r="T412" s="67">
        <f t="shared" si="381"/>
        <v>0</v>
      </c>
      <c r="U412" s="67">
        <f t="shared" si="381"/>
        <v>0</v>
      </c>
      <c r="V412" s="67">
        <f t="shared" si="381"/>
        <v>0</v>
      </c>
    </row>
    <row r="413" spans="1:22" s="35" customFormat="1" ht="13.5" customHeight="1" outlineLevel="1">
      <c r="B413" s="62"/>
      <c r="C413" s="262"/>
      <c r="D413" s="263"/>
      <c r="E413" s="263"/>
      <c r="F413" s="264"/>
      <c r="G413" s="264"/>
      <c r="H413" s="264"/>
      <c r="I413" s="264"/>
      <c r="J413" s="264"/>
      <c r="K413" s="264"/>
      <c r="L413" s="264"/>
      <c r="M413" s="264"/>
      <c r="N413" s="264"/>
      <c r="O413" s="264"/>
      <c r="P413" s="264"/>
      <c r="Q413" s="264"/>
      <c r="R413" s="264"/>
      <c r="S413" s="264"/>
      <c r="T413" s="264"/>
      <c r="U413" s="264"/>
      <c r="V413" s="264"/>
    </row>
    <row r="414" spans="1:22" s="35" customFormat="1" ht="13.5" customHeight="1" outlineLevel="1">
      <c r="B414" s="62" t="s">
        <v>431</v>
      </c>
      <c r="C414" s="262"/>
      <c r="D414" s="263"/>
      <c r="E414" s="528">
        <v>0.8</v>
      </c>
      <c r="F414" s="264"/>
      <c r="G414" s="264"/>
      <c r="H414" s="264"/>
      <c r="I414" s="264"/>
      <c r="J414" s="264"/>
      <c r="K414" s="264"/>
      <c r="L414" s="264"/>
      <c r="M414" s="264"/>
      <c r="N414" s="264"/>
      <c r="O414" s="264"/>
      <c r="P414" s="264"/>
      <c r="Q414" s="264"/>
      <c r="R414" s="264"/>
      <c r="S414" s="264"/>
      <c r="T414" s="264"/>
      <c r="U414" s="264"/>
      <c r="V414" s="264"/>
    </row>
    <row r="415" spans="1:22" s="35" customFormat="1" ht="13.5" customHeight="1" outlineLevel="1">
      <c r="B415" s="62"/>
      <c r="C415" s="262"/>
      <c r="D415" s="263"/>
      <c r="E415" s="263"/>
      <c r="F415" s="264"/>
      <c r="G415" s="264"/>
      <c r="H415" s="264"/>
      <c r="I415" s="264"/>
      <c r="J415" s="264"/>
      <c r="K415" s="264"/>
      <c r="L415" s="264"/>
      <c r="M415" s="264"/>
      <c r="N415" s="264"/>
      <c r="O415" s="264"/>
      <c r="P415" s="264"/>
      <c r="Q415" s="264"/>
      <c r="R415" s="264"/>
      <c r="S415" s="264"/>
      <c r="T415" s="264"/>
      <c r="U415" s="264"/>
      <c r="V415" s="264"/>
    </row>
    <row r="416" spans="1:22" s="35" customFormat="1" ht="13.5" customHeight="1" outlineLevel="1">
      <c r="B416" s="62" t="s">
        <v>432</v>
      </c>
      <c r="C416" s="262"/>
      <c r="D416" s="263"/>
      <c r="E416" s="263"/>
      <c r="F416" s="84">
        <f>-F411*(1-$E414)*F235</f>
        <v>0</v>
      </c>
      <c r="G416" s="84">
        <f>-G411*(1-$E414)*G235</f>
        <v>0</v>
      </c>
      <c r="H416" s="84">
        <f>-H411*(1-$E414)*H235</f>
        <v>0</v>
      </c>
      <c r="I416" s="84">
        <f>-I411*(1-$E414)*I235</f>
        <v>0</v>
      </c>
      <c r="J416" s="84"/>
      <c r="K416" s="84"/>
      <c r="L416" s="84"/>
      <c r="M416" s="84">
        <f t="shared" ref="M416:V416" si="382">-M411*(1-$E414)*M235</f>
        <v>0</v>
      </c>
      <c r="N416" s="84">
        <f t="shared" si="382"/>
        <v>0</v>
      </c>
      <c r="O416" s="84">
        <f t="shared" si="382"/>
        <v>0</v>
      </c>
      <c r="P416" s="84">
        <f t="shared" si="382"/>
        <v>0</v>
      </c>
      <c r="Q416" s="84">
        <f t="shared" si="382"/>
        <v>0</v>
      </c>
      <c r="R416" s="84">
        <f t="shared" si="382"/>
        <v>0</v>
      </c>
      <c r="S416" s="84">
        <f t="shared" si="382"/>
        <v>0</v>
      </c>
      <c r="T416" s="84">
        <f t="shared" si="382"/>
        <v>0</v>
      </c>
      <c r="U416" s="84">
        <f t="shared" si="382"/>
        <v>0</v>
      </c>
      <c r="V416" s="84">
        <f t="shared" si="382"/>
        <v>0</v>
      </c>
    </row>
    <row r="417" spans="1:22" s="35" customFormat="1" ht="13.5" customHeight="1" outlineLevel="1">
      <c r="B417" s="62" t="s">
        <v>433</v>
      </c>
      <c r="C417" s="262"/>
      <c r="D417" s="263"/>
      <c r="E417" s="529">
        <v>0</v>
      </c>
      <c r="F417" s="83">
        <f>F412*(1-$E414*$E417)*F235</f>
        <v>0</v>
      </c>
      <c r="G417" s="83">
        <f>G412*(1-$E414*$E417)*G235</f>
        <v>0</v>
      </c>
      <c r="H417" s="83">
        <f>H412*(1-$E414*$E417)*H235</f>
        <v>0</v>
      </c>
      <c r="I417" s="83">
        <f>I412*(1-$E414*$E417)*I235</f>
        <v>0</v>
      </c>
      <c r="J417" s="83"/>
      <c r="K417" s="83"/>
      <c r="L417" s="83"/>
      <c r="M417" s="83">
        <f t="shared" ref="M417:V417" si="383">M412*(1-$E414*$E417)*M235</f>
        <v>0</v>
      </c>
      <c r="N417" s="83">
        <f t="shared" si="383"/>
        <v>0</v>
      </c>
      <c r="O417" s="83">
        <f t="shared" si="383"/>
        <v>0</v>
      </c>
      <c r="P417" s="83">
        <f t="shared" si="383"/>
        <v>0</v>
      </c>
      <c r="Q417" s="83">
        <f t="shared" si="383"/>
        <v>0</v>
      </c>
      <c r="R417" s="83">
        <f t="shared" si="383"/>
        <v>0</v>
      </c>
      <c r="S417" s="83">
        <f t="shared" si="383"/>
        <v>0</v>
      </c>
      <c r="T417" s="83">
        <f t="shared" si="383"/>
        <v>0</v>
      </c>
      <c r="U417" s="83">
        <f t="shared" si="383"/>
        <v>0</v>
      </c>
      <c r="V417" s="83">
        <f t="shared" si="383"/>
        <v>0</v>
      </c>
    </row>
    <row r="418" spans="1:22" s="35" customFormat="1" ht="13.5" customHeight="1" outlineLevel="1">
      <c r="B418" s="52" t="s">
        <v>434</v>
      </c>
      <c r="C418" s="52"/>
      <c r="D418" s="52"/>
      <c r="E418" s="52"/>
      <c r="F418" s="67">
        <f t="shared" ref="F418:V418" si="384">SUM(F416:F417)</f>
        <v>0</v>
      </c>
      <c r="G418" s="67">
        <f t="shared" si="384"/>
        <v>0</v>
      </c>
      <c r="H418" s="67">
        <f t="shared" si="384"/>
        <v>0</v>
      </c>
      <c r="I418" s="67">
        <f t="shared" si="384"/>
        <v>0</v>
      </c>
      <c r="J418" s="67"/>
      <c r="K418" s="67"/>
      <c r="L418" s="67"/>
      <c r="M418" s="67">
        <f t="shared" si="384"/>
        <v>0</v>
      </c>
      <c r="N418" s="67">
        <f t="shared" si="384"/>
        <v>0</v>
      </c>
      <c r="O418" s="67">
        <f t="shared" si="384"/>
        <v>0</v>
      </c>
      <c r="P418" s="67">
        <f t="shared" si="384"/>
        <v>0</v>
      </c>
      <c r="Q418" s="67">
        <f t="shared" si="384"/>
        <v>0</v>
      </c>
      <c r="R418" s="67">
        <f t="shared" si="384"/>
        <v>0</v>
      </c>
      <c r="S418" s="67">
        <f t="shared" si="384"/>
        <v>0</v>
      </c>
      <c r="T418" s="67">
        <f t="shared" si="384"/>
        <v>0</v>
      </c>
      <c r="U418" s="67">
        <f t="shared" si="384"/>
        <v>0</v>
      </c>
      <c r="V418" s="67">
        <f t="shared" si="384"/>
        <v>0</v>
      </c>
    </row>
    <row r="419" spans="1:22" s="35" customFormat="1" ht="13.5" customHeight="1" outlineLevel="1">
      <c r="B419" s="38"/>
      <c r="C419" s="38"/>
      <c r="D419" s="38"/>
      <c r="E419" s="57"/>
      <c r="F419" s="54"/>
      <c r="G419" s="54"/>
      <c r="H419" s="54"/>
      <c r="I419" s="54"/>
      <c r="J419" s="54"/>
      <c r="K419" s="54"/>
      <c r="L419" s="54"/>
      <c r="M419" s="54"/>
      <c r="N419" s="54"/>
      <c r="O419" s="54"/>
      <c r="P419" s="54"/>
      <c r="Q419" s="54"/>
      <c r="R419" s="54"/>
      <c r="S419" s="54"/>
      <c r="T419" s="54"/>
      <c r="U419" s="54"/>
      <c r="V419" s="54"/>
    </row>
    <row r="420" spans="1:22" s="35" customFormat="1" ht="13.5" customHeight="1" outlineLevel="1">
      <c r="B420" s="38" t="s">
        <v>435</v>
      </c>
      <c r="C420" s="38"/>
      <c r="D420" s="38"/>
      <c r="E420" s="57"/>
      <c r="F420" s="84">
        <f>F410*F235-F418</f>
        <v>0</v>
      </c>
      <c r="G420" s="84">
        <f>G410*G235-G418</f>
        <v>0</v>
      </c>
      <c r="H420" s="84">
        <f>H410*H235-H418</f>
        <v>0</v>
      </c>
      <c r="I420" s="84">
        <f>I410*I235-I418</f>
        <v>0</v>
      </c>
      <c r="J420" s="84"/>
      <c r="K420" s="84"/>
      <c r="L420" s="84"/>
      <c r="M420" s="84">
        <f t="shared" ref="M420:V420" si="385">M410*M235-M418</f>
        <v>0</v>
      </c>
      <c r="N420" s="84">
        <f t="shared" si="385"/>
        <v>0</v>
      </c>
      <c r="O420" s="84">
        <f t="shared" si="385"/>
        <v>0</v>
      </c>
      <c r="P420" s="84">
        <f t="shared" si="385"/>
        <v>0</v>
      </c>
      <c r="Q420" s="84">
        <f t="shared" si="385"/>
        <v>0</v>
      </c>
      <c r="R420" s="84">
        <f t="shared" si="385"/>
        <v>0</v>
      </c>
      <c r="S420" s="84">
        <f t="shared" si="385"/>
        <v>0</v>
      </c>
      <c r="T420" s="84">
        <f t="shared" si="385"/>
        <v>0</v>
      </c>
      <c r="U420" s="84">
        <f t="shared" si="385"/>
        <v>0</v>
      </c>
      <c r="V420" s="84">
        <f t="shared" si="385"/>
        <v>0</v>
      </c>
    </row>
    <row r="421" spans="1:22" s="35" customFormat="1" ht="5.0999999999999996" customHeight="1" outlineLevel="1" thickBot="1">
      <c r="B421" s="121"/>
      <c r="C421" s="121"/>
      <c r="D421" s="233"/>
      <c r="E421" s="233"/>
      <c r="F421" s="234"/>
      <c r="G421" s="234"/>
      <c r="H421" s="234"/>
      <c r="I421" s="234"/>
      <c r="J421" s="233"/>
      <c r="K421" s="234"/>
      <c r="L421" s="233"/>
      <c r="M421" s="234"/>
      <c r="N421" s="234"/>
      <c r="O421" s="234"/>
      <c r="P421" s="234"/>
      <c r="Q421" s="234"/>
      <c r="R421" s="234"/>
      <c r="S421" s="234"/>
      <c r="T421" s="234"/>
      <c r="U421" s="234"/>
      <c r="V421" s="234"/>
    </row>
    <row r="422" spans="1:22" s="35" customFormat="1" ht="13.5" customHeight="1" outlineLevel="1"/>
    <row r="423" spans="1:22" s="35" customFormat="1" ht="13.5" customHeight="1" outlineLevel="1" thickBot="1"/>
    <row r="424" spans="1:22" s="35" customFormat="1" ht="20.100000000000001" customHeight="1" thickTop="1">
      <c r="A424" s="41" t="s">
        <v>426</v>
      </c>
      <c r="B424" s="42" t="s">
        <v>84</v>
      </c>
      <c r="C424" s="43"/>
      <c r="D424" s="44"/>
      <c r="E424" s="44"/>
      <c r="F424" s="44"/>
      <c r="G424" s="44"/>
      <c r="H424" s="44"/>
      <c r="I424" s="44"/>
      <c r="J424" s="44"/>
      <c r="K424" s="44"/>
      <c r="L424" s="44"/>
      <c r="M424" s="44"/>
      <c r="N424" s="44"/>
      <c r="O424" s="44"/>
      <c r="P424" s="44"/>
      <c r="Q424" s="44"/>
      <c r="R424" s="44"/>
      <c r="S424" s="44"/>
      <c r="T424" s="44"/>
      <c r="U424" s="44"/>
      <c r="V424" s="44"/>
    </row>
    <row r="425" spans="1:22" s="35" customFormat="1" outlineLevel="1">
      <c r="B425" s="45"/>
      <c r="L425" s="261"/>
      <c r="M425" s="261"/>
      <c r="N425" s="261"/>
      <c r="O425" s="261"/>
      <c r="P425" s="261"/>
      <c r="Q425" s="261"/>
      <c r="R425" s="261"/>
      <c r="S425" s="261"/>
      <c r="T425" s="261"/>
      <c r="U425" s="261"/>
      <c r="V425" s="155" t="str">
        <f ca="1">err_msg</f>
        <v/>
      </c>
    </row>
    <row r="426" spans="1:22" s="203" customFormat="1" ht="13.5" customHeight="1" outlineLevel="1">
      <c r="F426" s="204"/>
      <c r="G426" s="204"/>
      <c r="H426" s="204"/>
      <c r="I426" s="204"/>
      <c r="L426" s="261"/>
      <c r="M426" s="126" t="str">
        <f>M$144</f>
        <v>3 Quarters</v>
      </c>
      <c r="N426" s="205" t="str">
        <f>N$144</f>
        <v>Fiscal Years Ending September 30,</v>
      </c>
      <c r="O426" s="205"/>
      <c r="P426" s="205"/>
      <c r="Q426" s="205"/>
      <c r="R426" s="205"/>
      <c r="S426" s="205"/>
      <c r="T426" s="205"/>
      <c r="U426" s="205"/>
      <c r="V426" s="205"/>
    </row>
    <row r="427" spans="1:22" s="203" customFormat="1" outlineLevel="1">
      <c r="F427" s="265"/>
      <c r="G427" s="265"/>
      <c r="H427" s="265"/>
      <c r="I427" s="265"/>
      <c r="L427" s="109" t="s">
        <v>241</v>
      </c>
      <c r="M427" s="109" t="str">
        <f t="shared" ref="M427" si="386">M$145</f>
        <v>Ending</v>
      </c>
      <c r="N427" s="109">
        <f>N$145</f>
        <v>2</v>
      </c>
      <c r="O427" s="109">
        <f t="shared" ref="O427:V427" si="387">O$145</f>
        <v>3</v>
      </c>
      <c r="P427" s="109">
        <f t="shared" si="387"/>
        <v>4</v>
      </c>
      <c r="Q427" s="109">
        <f t="shared" si="387"/>
        <v>5</v>
      </c>
      <c r="R427" s="109">
        <f t="shared" si="387"/>
        <v>6</v>
      </c>
      <c r="S427" s="109">
        <f t="shared" si="387"/>
        <v>7</v>
      </c>
      <c r="T427" s="109">
        <f t="shared" si="387"/>
        <v>8</v>
      </c>
      <c r="U427" s="109">
        <f t="shared" si="387"/>
        <v>9</v>
      </c>
      <c r="V427" s="109">
        <f t="shared" si="387"/>
        <v>10</v>
      </c>
    </row>
    <row r="428" spans="1:22" s="203" customFormat="1" ht="13.5" customHeight="1" outlineLevel="1" thickBot="1">
      <c r="B428" s="130" t="s">
        <v>246</v>
      </c>
      <c r="C428" s="208"/>
      <c r="D428" s="208"/>
      <c r="E428" s="208"/>
      <c r="F428" s="266"/>
      <c r="G428" s="266"/>
      <c r="H428" s="266"/>
      <c r="I428" s="266"/>
      <c r="J428" s="208"/>
      <c r="K428" s="208"/>
      <c r="L428" s="209">
        <f>close</f>
        <v>45291</v>
      </c>
      <c r="M428" s="209">
        <f t="shared" ref="M428" si="388">M$146</f>
        <v>45565</v>
      </c>
      <c r="N428" s="211">
        <f>N$146</f>
        <v>45930</v>
      </c>
      <c r="O428" s="211">
        <f t="shared" ref="O428:V428" si="389">O$146</f>
        <v>46295</v>
      </c>
      <c r="P428" s="211">
        <f t="shared" si="389"/>
        <v>46660</v>
      </c>
      <c r="Q428" s="211">
        <f t="shared" si="389"/>
        <v>47026</v>
      </c>
      <c r="R428" s="211">
        <f t="shared" si="389"/>
        <v>47391</v>
      </c>
      <c r="S428" s="211">
        <f t="shared" si="389"/>
        <v>47756</v>
      </c>
      <c r="T428" s="211">
        <f t="shared" si="389"/>
        <v>48121</v>
      </c>
      <c r="U428" s="211">
        <f t="shared" si="389"/>
        <v>48487</v>
      </c>
      <c r="V428" s="211">
        <f t="shared" si="389"/>
        <v>48852</v>
      </c>
    </row>
    <row r="429" spans="1:22" s="35" customFormat="1" ht="5.0999999999999996" customHeight="1" outlineLevel="1"/>
    <row r="430" spans="1:22" s="35" customFormat="1" ht="13.5" customHeight="1" outlineLevel="1">
      <c r="B430" s="46" t="s">
        <v>297</v>
      </c>
      <c r="C430" s="47"/>
      <c r="D430" s="47"/>
      <c r="E430" s="47"/>
      <c r="F430" s="47"/>
      <c r="G430" s="47"/>
      <c r="H430" s="47"/>
      <c r="I430" s="47"/>
      <c r="J430" s="47"/>
      <c r="K430" s="47"/>
      <c r="L430" s="47"/>
      <c r="M430" s="47"/>
      <c r="N430" s="47"/>
      <c r="O430" s="47"/>
      <c r="P430" s="47"/>
      <c r="Q430" s="47"/>
      <c r="R430" s="47"/>
      <c r="S430" s="47"/>
      <c r="T430" s="47"/>
      <c r="U430" s="47"/>
      <c r="V430" s="48"/>
    </row>
    <row r="431" spans="1:22" s="35" customFormat="1" ht="5.0999999999999996" customHeight="1" outlineLevel="1">
      <c r="B431" s="267"/>
      <c r="L431" s="268"/>
    </row>
    <row r="432" spans="1:22" s="35" customFormat="1" ht="13.5" customHeight="1" outlineLevel="1">
      <c r="B432" s="38" t="str">
        <f>B1301</f>
        <v>Revolver</v>
      </c>
      <c r="C432" s="38"/>
      <c r="D432" s="38"/>
      <c r="E432" s="38"/>
      <c r="F432" s="38"/>
      <c r="G432" s="38"/>
      <c r="H432" s="38"/>
      <c r="M432" s="202">
        <f>Q1301*M$148</f>
        <v>0</v>
      </c>
      <c r="N432" s="58">
        <f>IF(N$427=$R1301,1-SUM($M432:M432),MIN($Q1301,1-SUM($M432:M432)))</f>
        <v>0</v>
      </c>
      <c r="O432" s="58">
        <f>IF(O$427=$R1301,1-SUM($M432:N432),MIN($Q1301,1-SUM($M432:N432)))</f>
        <v>0</v>
      </c>
      <c r="P432" s="58">
        <f>IF(P$427=$R1301,1-SUM($M432:O432),MIN($Q1301,1-SUM($M432:O432)))</f>
        <v>0</v>
      </c>
      <c r="Q432" s="58">
        <f>IF(Q$427=$R1301,1-SUM($M432:P432),MIN($Q1301,1-SUM($M432:P432)))</f>
        <v>0</v>
      </c>
      <c r="R432" s="58">
        <f>IF(R$427=$R1301,1-SUM($M432:Q432),MIN($Q1301,1-SUM($M432:Q432)))</f>
        <v>0</v>
      </c>
      <c r="S432" s="58">
        <f>IF(S$427=$R1301,1-SUM($M432:R432),MIN($Q1301,1-SUM($M432:R432)))</f>
        <v>0</v>
      </c>
      <c r="T432" s="58">
        <f>IF(T$427=$R1301,1-SUM($M432:S432),MIN($Q1301,1-SUM($M432:S432)))</f>
        <v>0</v>
      </c>
      <c r="U432" s="58">
        <f>IF(U$427=$R1301,1-SUM($M432:T432),MIN($Q1301,1-SUM($M432:T432)))</f>
        <v>0</v>
      </c>
      <c r="V432" s="58">
        <f>IF(V$427=$R1301,1-SUM($M432:U432),MIN($Q1301,1-SUM($M432:U432)))</f>
        <v>0</v>
      </c>
    </row>
    <row r="433" spans="2:22" s="35" customFormat="1" ht="13.5" customHeight="1" outlineLevel="1">
      <c r="B433" s="38" t="s">
        <v>180</v>
      </c>
      <c r="C433" s="38"/>
      <c r="D433" s="38"/>
      <c r="E433" s="38"/>
      <c r="F433" s="38"/>
      <c r="G433" s="38"/>
      <c r="H433" s="38"/>
      <c r="M433" s="202">
        <f>Q1300*M$148</f>
        <v>0</v>
      </c>
      <c r="N433" s="58">
        <f>IF(N$427=$R1300,1-SUM($M433:M433),MIN($Q1300,1-SUM($M433:M433)))</f>
        <v>0</v>
      </c>
      <c r="O433" s="58">
        <f>IF(O$427=$R1300,1-SUM($M433:N433),MIN($Q1300,1-SUM($M433:N433)))</f>
        <v>0</v>
      </c>
      <c r="P433" s="58">
        <f>IF(P$427=$R1300,1-SUM($M433:O433),MIN($Q1300,1-SUM($M433:O433)))</f>
        <v>0</v>
      </c>
      <c r="Q433" s="58">
        <f>IF(Q$427=$R1300,1-SUM($M433:P433),MIN($Q1300,1-SUM($M433:P433)))</f>
        <v>1</v>
      </c>
      <c r="R433" s="58">
        <f>IF(R$427=$R1300,1-SUM($M433:Q433),MIN($Q1300,1-SUM($M433:Q433)))</f>
        <v>0</v>
      </c>
      <c r="S433" s="58">
        <f>IF(S$427=$R1300,1-SUM($M433:R433),MIN($Q1300,1-SUM($M433:R433)))</f>
        <v>0</v>
      </c>
      <c r="T433" s="58">
        <f>IF(T$427=$R1300,1-SUM($M433:S433),MIN($Q1300,1-SUM($M433:S433)))</f>
        <v>0</v>
      </c>
      <c r="U433" s="58">
        <f>IF(U$427=$R1300,1-SUM($M433:T433),MIN($Q1300,1-SUM($M433:T433)))</f>
        <v>0</v>
      </c>
      <c r="V433" s="58">
        <f>IF(V$427=$R1300,1-SUM($M433:U433),MIN($Q1300,1-SUM($M433:U433)))</f>
        <v>0</v>
      </c>
    </row>
    <row r="434" spans="2:22" s="35" customFormat="1" ht="13.5" customHeight="1" outlineLevel="1">
      <c r="B434" s="38" t="str">
        <f t="shared" ref="B434:B443" si="390">B1254</f>
        <v>Term loan - A</v>
      </c>
      <c r="C434" s="38"/>
      <c r="D434" s="38"/>
      <c r="E434" s="38"/>
      <c r="F434" s="38"/>
      <c r="G434" s="38"/>
      <c r="H434" s="38"/>
      <c r="M434" s="202">
        <f t="shared" ref="M434:M443" si="391">Q1302*M$148</f>
        <v>0.15000000000000002</v>
      </c>
      <c r="N434" s="58">
        <f>IF(N$427=$R1302,1-SUM($M434:M434),MIN($Q1302,1-SUM($M434:M434)))</f>
        <v>0.2</v>
      </c>
      <c r="O434" s="58">
        <f>IF(O$427=$R1302,1-SUM($M434:N434),MIN($Q1302,1-SUM($M434:N434)))</f>
        <v>0.2</v>
      </c>
      <c r="P434" s="58">
        <f>IF(P$427=$R1302,1-SUM($M434:O434),MIN($Q1302,1-SUM($M434:O434)))</f>
        <v>0.2</v>
      </c>
      <c r="Q434" s="58">
        <f>IF(Q$427=$R1302,1-SUM($M434:P434),MIN($Q1302,1-SUM($M434:P434)))</f>
        <v>0.25</v>
      </c>
      <c r="R434" s="58">
        <f>IF(R$427=$R1302,1-SUM($M434:Q434),MIN($Q1302,1-SUM($M434:Q434)))</f>
        <v>0</v>
      </c>
      <c r="S434" s="58">
        <f>IF(S$427=$R1302,1-SUM($M434:R434),MIN($Q1302,1-SUM($M434:R434)))</f>
        <v>0</v>
      </c>
      <c r="T434" s="58">
        <f>IF(T$427=$R1302,1-SUM($M434:S434),MIN($Q1302,1-SUM($M434:S434)))</f>
        <v>0</v>
      </c>
      <c r="U434" s="58">
        <f>IF(U$427=$R1302,1-SUM($M434:T434),MIN($Q1302,1-SUM($M434:T434)))</f>
        <v>0</v>
      </c>
      <c r="V434" s="58">
        <f>IF(V$427=$R1302,1-SUM($M434:U434),MIN($Q1302,1-SUM($M434:U434)))</f>
        <v>0</v>
      </c>
    </row>
    <row r="435" spans="2:22" s="35" customFormat="1" ht="13.5" customHeight="1" outlineLevel="1">
      <c r="B435" s="38" t="str">
        <f t="shared" si="390"/>
        <v>Term loan - B</v>
      </c>
      <c r="C435" s="38"/>
      <c r="D435" s="38"/>
      <c r="E435" s="38"/>
      <c r="F435" s="38"/>
      <c r="G435" s="38"/>
      <c r="H435" s="38"/>
      <c r="M435" s="202">
        <f t="shared" si="391"/>
        <v>3.7500000000000006E-2</v>
      </c>
      <c r="N435" s="58">
        <f>IF(N$427=$R1303,1-SUM($M435:M435),MIN($Q1303,1-SUM($M435:M435)))</f>
        <v>0.05</v>
      </c>
      <c r="O435" s="58">
        <f>IF(O$427=$R1303,1-SUM($M435:N435),MIN($Q1303,1-SUM($M435:N435)))</f>
        <v>0.05</v>
      </c>
      <c r="P435" s="58">
        <f>IF(P$427=$R1303,1-SUM($M435:O435),MIN($Q1303,1-SUM($M435:O435)))</f>
        <v>0.05</v>
      </c>
      <c r="Q435" s="58">
        <f>IF(Q$427=$R1303,1-SUM($M435:P435),MIN($Q1303,1-SUM($M435:P435)))</f>
        <v>0.05</v>
      </c>
      <c r="R435" s="58">
        <f>IF(R$427=$R1303,1-SUM($M435:Q435),MIN($Q1303,1-SUM($M435:Q435)))</f>
        <v>0.76249999999999996</v>
      </c>
      <c r="S435" s="58">
        <f>IF(S$427=$R1303,1-SUM($M435:R435),MIN($Q1303,1-SUM($M435:R435)))</f>
        <v>0</v>
      </c>
      <c r="T435" s="58">
        <f>IF(T$427=$R1303,1-SUM($M435:S435),MIN($Q1303,1-SUM($M435:S435)))</f>
        <v>0</v>
      </c>
      <c r="U435" s="58">
        <f>IF(U$427=$R1303,1-SUM($M435:T435),MIN($Q1303,1-SUM($M435:T435)))</f>
        <v>0</v>
      </c>
      <c r="V435" s="58">
        <f>IF(V$427=$R1303,1-SUM($M435:U435),MIN($Q1303,1-SUM($M435:U435)))</f>
        <v>0</v>
      </c>
    </row>
    <row r="436" spans="2:22" s="35" customFormat="1" ht="13.5" customHeight="1" outlineLevel="1">
      <c r="B436" s="38" t="str">
        <f t="shared" si="390"/>
        <v>Senior note</v>
      </c>
      <c r="C436" s="38"/>
      <c r="D436" s="38"/>
      <c r="E436" s="38"/>
      <c r="F436" s="38"/>
      <c r="G436" s="38"/>
      <c r="H436" s="38"/>
      <c r="M436" s="202">
        <f t="shared" si="391"/>
        <v>0</v>
      </c>
      <c r="N436" s="58">
        <f>IF(N$427=$R1304,1-SUM($M436:M436),MIN($Q1304,1-SUM($M436:M436)))</f>
        <v>0</v>
      </c>
      <c r="O436" s="58">
        <f>IF(O$427=$R1304,1-SUM($M436:N436),MIN($Q1304,1-SUM($M436:N436)))</f>
        <v>0</v>
      </c>
      <c r="P436" s="58">
        <f>IF(P$427=$R1304,1-SUM($M436:O436),MIN($Q1304,1-SUM($M436:O436)))</f>
        <v>0</v>
      </c>
      <c r="Q436" s="58">
        <f>IF(Q$427=$R1304,1-SUM($M436:P436),MIN($Q1304,1-SUM($M436:P436)))</f>
        <v>0</v>
      </c>
      <c r="R436" s="58">
        <f>IF(R$427=$R1304,1-SUM($M436:Q436),MIN($Q1304,1-SUM($M436:Q436)))</f>
        <v>0</v>
      </c>
      <c r="S436" s="58">
        <f>IF(S$427=$R1304,1-SUM($M436:R436),MIN($Q1304,1-SUM($M436:R436)))</f>
        <v>0</v>
      </c>
      <c r="T436" s="58">
        <f>IF(T$427=$R1304,1-SUM($M436:S436),MIN($Q1304,1-SUM($M436:S436)))</f>
        <v>1</v>
      </c>
      <c r="U436" s="58">
        <f>IF(U$427=$R1304,1-SUM($M436:T436),MIN($Q1304,1-SUM($M436:T436)))</f>
        <v>0</v>
      </c>
      <c r="V436" s="58">
        <f>IF(V$427=$R1304,1-SUM($M436:U436),MIN($Q1304,1-SUM($M436:U436)))</f>
        <v>0</v>
      </c>
    </row>
    <row r="437" spans="2:22" s="35" customFormat="1" ht="13.5" customHeight="1" outlineLevel="1">
      <c r="B437" s="38" t="str">
        <f t="shared" si="390"/>
        <v>Subordinated note</v>
      </c>
      <c r="C437" s="38"/>
      <c r="D437" s="38"/>
      <c r="E437" s="38"/>
      <c r="F437" s="38"/>
      <c r="G437" s="38"/>
      <c r="H437" s="38"/>
      <c r="M437" s="202">
        <f t="shared" si="391"/>
        <v>0</v>
      </c>
      <c r="N437" s="58">
        <f>IF(N$427=$R1305,1-SUM($M437:M437),MIN($Q1305,1-SUM($M437:M437)))</f>
        <v>0</v>
      </c>
      <c r="O437" s="58">
        <f>IF(O$427=$R1305,1-SUM($M437:N437),MIN($Q1305,1-SUM($M437:N437)))</f>
        <v>0</v>
      </c>
      <c r="P437" s="58">
        <f>IF(P$427=$R1305,1-SUM($M437:O437),MIN($Q1305,1-SUM($M437:O437)))</f>
        <v>0</v>
      </c>
      <c r="Q437" s="58">
        <f>IF(Q$427=$R1305,1-SUM($M437:P437),MIN($Q1305,1-SUM($M437:P437)))</f>
        <v>0</v>
      </c>
      <c r="R437" s="58">
        <f>IF(R$427=$R1305,1-SUM($M437:Q437),MIN($Q1305,1-SUM($M437:Q437)))</f>
        <v>1</v>
      </c>
      <c r="S437" s="58">
        <f>IF(S$427=$R1305,1-SUM($M437:R437),MIN($Q1305,1-SUM($M437:R437)))</f>
        <v>0</v>
      </c>
      <c r="T437" s="58">
        <f>IF(T$427=$R1305,1-SUM($M437:S437),MIN($Q1305,1-SUM($M437:S437)))</f>
        <v>0</v>
      </c>
      <c r="U437" s="58">
        <f>IF(U$427=$R1305,1-SUM($M437:T437),MIN($Q1305,1-SUM($M437:T437)))</f>
        <v>0</v>
      </c>
      <c r="V437" s="58">
        <f>IF(V$427=$R1305,1-SUM($M437:U437),MIN($Q1305,1-SUM($M437:U437)))</f>
        <v>0</v>
      </c>
    </row>
    <row r="438" spans="2:22" s="35" customFormat="1" ht="13.5" customHeight="1" outlineLevel="1">
      <c r="B438" s="38" t="str">
        <f t="shared" si="390"/>
        <v>Mezzanine</v>
      </c>
      <c r="C438" s="38"/>
      <c r="D438" s="38"/>
      <c r="E438" s="38"/>
      <c r="F438" s="38"/>
      <c r="G438" s="38"/>
      <c r="H438" s="38"/>
      <c r="M438" s="202">
        <f t="shared" si="391"/>
        <v>0</v>
      </c>
      <c r="N438" s="58">
        <f>IF(N$427=$R1306,1-SUM($M438:M438),MIN($Q1306,1-SUM($M438:M438)))</f>
        <v>0</v>
      </c>
      <c r="O438" s="58">
        <f>IF(O$427=$R1306,1-SUM($M438:N438),MIN($Q1306,1-SUM($M438:N438)))</f>
        <v>0</v>
      </c>
      <c r="P438" s="58">
        <f>IF(P$427=$R1306,1-SUM($M438:O438),MIN($Q1306,1-SUM($M438:O438)))</f>
        <v>0</v>
      </c>
      <c r="Q438" s="58">
        <f>IF(Q$427=$R1306,1-SUM($M438:P438),MIN($Q1306,1-SUM($M438:P438)))</f>
        <v>0</v>
      </c>
      <c r="R438" s="58">
        <f>IF(R$427=$R1306,1-SUM($M438:Q438),MIN($Q1306,1-SUM($M438:Q438)))</f>
        <v>0</v>
      </c>
      <c r="S438" s="58">
        <f>IF(S$427=$R1306,1-SUM($M438:R438),MIN($Q1306,1-SUM($M438:R438)))</f>
        <v>0</v>
      </c>
      <c r="T438" s="58">
        <f>IF(T$427=$R1306,1-SUM($M438:S438),MIN($Q1306,1-SUM($M438:S438)))</f>
        <v>0</v>
      </c>
      <c r="U438" s="58">
        <f>IF(U$427=$R1306,1-SUM($M438:T438),MIN($Q1306,1-SUM($M438:T438)))</f>
        <v>0</v>
      </c>
      <c r="V438" s="58">
        <f>IF(V$427=$R1306,1-SUM($M438:U438),MIN($Q1306,1-SUM($M438:U438)))</f>
        <v>0</v>
      </c>
    </row>
    <row r="439" spans="2:22" s="35" customFormat="1" ht="13.5" customHeight="1" outlineLevel="1">
      <c r="B439" s="38" t="str">
        <f t="shared" si="390"/>
        <v>Seller note</v>
      </c>
      <c r="C439" s="38"/>
      <c r="D439" s="38"/>
      <c r="E439" s="38"/>
      <c r="F439" s="38"/>
      <c r="G439" s="38"/>
      <c r="H439" s="38"/>
      <c r="M439" s="202">
        <f t="shared" si="391"/>
        <v>0</v>
      </c>
      <c r="N439" s="58">
        <f>IF(N$427=$R1307,1-SUM($M439:M439),MIN($Q1307,1-SUM($M439:M439)))</f>
        <v>0</v>
      </c>
      <c r="O439" s="58">
        <f>IF(O$427=$R1307,1-SUM($M439:N439),MIN($Q1307,1-SUM($M439:N439)))</f>
        <v>1</v>
      </c>
      <c r="P439" s="58">
        <f>IF(P$427=$R1307,1-SUM($M439:O439),MIN($Q1307,1-SUM($M439:O439)))</f>
        <v>0</v>
      </c>
      <c r="Q439" s="58">
        <f>IF(Q$427=$R1307,1-SUM($M439:P439),MIN($Q1307,1-SUM($M439:P439)))</f>
        <v>0</v>
      </c>
      <c r="R439" s="58">
        <f>IF(R$427=$R1307,1-SUM($M439:Q439),MIN($Q1307,1-SUM($M439:Q439)))</f>
        <v>0</v>
      </c>
      <c r="S439" s="58">
        <f>IF(S$427=$R1307,1-SUM($M439:R439),MIN($Q1307,1-SUM($M439:R439)))</f>
        <v>0</v>
      </c>
      <c r="T439" s="58">
        <f>IF(T$427=$R1307,1-SUM($M439:S439),MIN($Q1307,1-SUM($M439:S439)))</f>
        <v>0</v>
      </c>
      <c r="U439" s="58">
        <f>IF(U$427=$R1307,1-SUM($M439:T439),MIN($Q1307,1-SUM($M439:T439)))</f>
        <v>0</v>
      </c>
      <c r="V439" s="58">
        <f>IF(V$427=$R1307,1-SUM($M439:U439),MIN($Q1307,1-SUM($M439:U439)))</f>
        <v>0</v>
      </c>
    </row>
    <row r="440" spans="2:22" s="35" customFormat="1" ht="13.5" customHeight="1" outlineLevel="1">
      <c r="B440" s="38" t="str">
        <f t="shared" si="390"/>
        <v>Convertible bond</v>
      </c>
      <c r="C440" s="38"/>
      <c r="D440" s="38"/>
      <c r="E440" s="38"/>
      <c r="F440" s="38"/>
      <c r="G440" s="38"/>
      <c r="H440" s="38"/>
      <c r="M440" s="202">
        <f t="shared" si="391"/>
        <v>0</v>
      </c>
      <c r="N440" s="58">
        <f>IF(N$427=$R1308,1-SUM($M440:M440),MIN($Q1308,1-SUM($M440:M440)))</f>
        <v>0</v>
      </c>
      <c r="O440" s="58">
        <f>IF(O$427=$R1308,1-SUM($M440:N440),MIN($Q1308,1-SUM($M440:N440)))</f>
        <v>1</v>
      </c>
      <c r="P440" s="58">
        <f>IF(P$427=$R1308,1-SUM($M440:O440),MIN($Q1308,1-SUM($M440:O440)))</f>
        <v>0</v>
      </c>
      <c r="Q440" s="58">
        <f>IF(Q$427=$R1308,1-SUM($M440:P440),MIN($Q1308,1-SUM($M440:P440)))</f>
        <v>0</v>
      </c>
      <c r="R440" s="58">
        <f>IF(R$427=$R1308,1-SUM($M440:Q440),MIN($Q1308,1-SUM($M440:Q440)))</f>
        <v>0</v>
      </c>
      <c r="S440" s="58">
        <f>IF(S$427=$R1308,1-SUM($M440:R440),MIN($Q1308,1-SUM($M440:R440)))</f>
        <v>0</v>
      </c>
      <c r="T440" s="58">
        <f>IF(T$427=$R1308,1-SUM($M440:S440),MIN($Q1308,1-SUM($M440:S440)))</f>
        <v>0</v>
      </c>
      <c r="U440" s="58">
        <f>IF(U$427=$R1308,1-SUM($M440:T440),MIN($Q1308,1-SUM($M440:T440)))</f>
        <v>0</v>
      </c>
      <c r="V440" s="58">
        <f>IF(V$427=$R1308,1-SUM($M440:U440),MIN($Q1308,1-SUM($M440:U440)))</f>
        <v>0</v>
      </c>
    </row>
    <row r="441" spans="2:22" s="35" customFormat="1" ht="13.5" customHeight="1" outlineLevel="1">
      <c r="B441" s="38" t="str">
        <f t="shared" si="390"/>
        <v>[Debt 8]</v>
      </c>
      <c r="C441" s="38"/>
      <c r="D441" s="38"/>
      <c r="E441" s="38"/>
      <c r="F441" s="38"/>
      <c r="G441" s="38"/>
      <c r="H441" s="38"/>
      <c r="M441" s="202">
        <f t="shared" si="391"/>
        <v>0</v>
      </c>
      <c r="N441" s="58">
        <f>IF(N$427=$R1309,1-SUM($M441:M441),MIN($Q1309,1-SUM($M441:M441)))</f>
        <v>0</v>
      </c>
      <c r="O441" s="58">
        <f>IF(O$427=$R1309,1-SUM($M441:N441),MIN($Q1309,1-SUM($M441:N441)))</f>
        <v>1</v>
      </c>
      <c r="P441" s="58">
        <f>IF(P$427=$R1309,1-SUM($M441:O441),MIN($Q1309,1-SUM($M441:O441)))</f>
        <v>0</v>
      </c>
      <c r="Q441" s="58">
        <f>IF(Q$427=$R1309,1-SUM($M441:P441),MIN($Q1309,1-SUM($M441:P441)))</f>
        <v>0</v>
      </c>
      <c r="R441" s="58">
        <f>IF(R$427=$R1309,1-SUM($M441:Q441),MIN($Q1309,1-SUM($M441:Q441)))</f>
        <v>0</v>
      </c>
      <c r="S441" s="58">
        <f>IF(S$427=$R1309,1-SUM($M441:R441),MIN($Q1309,1-SUM($M441:R441)))</f>
        <v>0</v>
      </c>
      <c r="T441" s="58">
        <f>IF(T$427=$R1309,1-SUM($M441:S441),MIN($Q1309,1-SUM($M441:S441)))</f>
        <v>0</v>
      </c>
      <c r="U441" s="58">
        <f>IF(U$427=$R1309,1-SUM($M441:T441),MIN($Q1309,1-SUM($M441:T441)))</f>
        <v>0</v>
      </c>
      <c r="V441" s="58">
        <f>IF(V$427=$R1309,1-SUM($M441:U441),MIN($Q1309,1-SUM($M441:U441)))</f>
        <v>0</v>
      </c>
    </row>
    <row r="442" spans="2:22" s="35" customFormat="1" ht="13.5" customHeight="1" outlineLevel="1">
      <c r="B442" s="38" t="str">
        <f t="shared" si="390"/>
        <v>Preferred stock - A</v>
      </c>
      <c r="C442" s="38"/>
      <c r="D442" s="38"/>
      <c r="E442" s="38"/>
      <c r="F442" s="38"/>
      <c r="G442" s="38"/>
      <c r="H442" s="38"/>
      <c r="M442" s="202">
        <f t="shared" si="391"/>
        <v>0</v>
      </c>
      <c r="N442" s="58">
        <f>IF(N$427=$R1310,1-SUM($M442:M442),MIN($Q1310,1-SUM($M442:M442)))</f>
        <v>0</v>
      </c>
      <c r="O442" s="58">
        <f>IF(O$427=$R1310,1-SUM($M442:N442),MIN($Q1310,1-SUM($M442:N442)))</f>
        <v>0</v>
      </c>
      <c r="P442" s="58">
        <f>IF(P$427=$R1310,1-SUM($M442:O442),MIN($Q1310,1-SUM($M442:O442)))</f>
        <v>0</v>
      </c>
      <c r="Q442" s="58">
        <f>IF(Q$427=$R1310,1-SUM($M442:P442),MIN($Q1310,1-SUM($M442:P442)))</f>
        <v>0</v>
      </c>
      <c r="R442" s="58">
        <f>IF(R$427=$R1310,1-SUM($M442:Q442),MIN($Q1310,1-SUM($M442:Q442)))</f>
        <v>0</v>
      </c>
      <c r="S442" s="58">
        <f>IF(S$427=$R1310,1-SUM($M442:R442),MIN($Q1310,1-SUM($M442:R442)))</f>
        <v>0</v>
      </c>
      <c r="T442" s="58">
        <f>IF(T$427=$R1310,1-SUM($M442:S442),MIN($Q1310,1-SUM($M442:S442)))</f>
        <v>0</v>
      </c>
      <c r="U442" s="58">
        <f>IF(U$427=$R1310,1-SUM($M442:T442),MIN($Q1310,1-SUM($M442:T442)))</f>
        <v>0</v>
      </c>
      <c r="V442" s="58">
        <f>IF(V$427=$R1310,1-SUM($M442:U442),MIN($Q1310,1-SUM($M442:U442)))</f>
        <v>0</v>
      </c>
    </row>
    <row r="443" spans="2:22" s="35" customFormat="1" ht="13.5" customHeight="1" outlineLevel="1">
      <c r="B443" s="38" t="str">
        <f t="shared" si="390"/>
        <v>Preferred stock - B</v>
      </c>
      <c r="C443" s="38"/>
      <c r="D443" s="38"/>
      <c r="E443" s="38"/>
      <c r="F443" s="38"/>
      <c r="G443" s="38"/>
      <c r="H443" s="38"/>
      <c r="M443" s="202">
        <f t="shared" si="391"/>
        <v>0</v>
      </c>
      <c r="N443" s="58">
        <f>IF(N$427=$R1311,1-SUM($M443:M443),MIN($Q1311,1-SUM($M443:M443)))</f>
        <v>0</v>
      </c>
      <c r="O443" s="58">
        <f>IF(O$427=$R1311,1-SUM($M443:N443),MIN($Q1311,1-SUM($M443:N443)))</f>
        <v>0</v>
      </c>
      <c r="P443" s="58">
        <f>IF(P$427=$R1311,1-SUM($M443:O443),MIN($Q1311,1-SUM($M443:O443)))</f>
        <v>0</v>
      </c>
      <c r="Q443" s="58">
        <f>IF(Q$427=$R1311,1-SUM($M443:P443),MIN($Q1311,1-SUM($M443:P443)))</f>
        <v>0</v>
      </c>
      <c r="R443" s="58">
        <f>IF(R$427=$R1311,1-SUM($M443:Q443),MIN($Q1311,1-SUM($M443:Q443)))</f>
        <v>0</v>
      </c>
      <c r="S443" s="58">
        <f>IF(S$427=$R1311,1-SUM($M443:R443),MIN($Q1311,1-SUM($M443:R443)))</f>
        <v>0</v>
      </c>
      <c r="T443" s="58">
        <f>IF(T$427=$R1311,1-SUM($M443:S443),MIN($Q1311,1-SUM($M443:S443)))</f>
        <v>0</v>
      </c>
      <c r="U443" s="58">
        <f>IF(U$427=$R1311,1-SUM($M443:T443),MIN($Q1311,1-SUM($M443:T443)))</f>
        <v>0</v>
      </c>
      <c r="V443" s="58">
        <f>IF(V$427=$R1311,1-SUM($M443:U443),MIN($Q1311,1-SUM($M443:U443)))</f>
        <v>0</v>
      </c>
    </row>
    <row r="444" spans="2:22" s="35" customFormat="1" ht="13.5" customHeight="1" outlineLevel="1">
      <c r="C444" s="38"/>
      <c r="D444" s="38"/>
      <c r="E444" s="38"/>
      <c r="F444" s="38"/>
      <c r="G444" s="38"/>
      <c r="H444" s="38"/>
      <c r="I444" s="38"/>
      <c r="J444" s="38"/>
      <c r="K444" s="38"/>
      <c r="L444" s="38"/>
      <c r="M444" s="190"/>
      <c r="N444" s="190"/>
      <c r="O444" s="190"/>
      <c r="P444" s="190"/>
      <c r="Q444" s="190"/>
      <c r="R444" s="190"/>
      <c r="S444" s="190"/>
      <c r="T444" s="190"/>
      <c r="U444" s="190"/>
      <c r="V444" s="190"/>
    </row>
    <row r="445" spans="2:22" s="35" customFormat="1" ht="13.5" customHeight="1" outlineLevel="1">
      <c r="B445" s="46" t="s">
        <v>359</v>
      </c>
      <c r="C445" s="47"/>
      <c r="D445" s="47"/>
      <c r="E445" s="47"/>
      <c r="F445" s="47"/>
      <c r="G445" s="47"/>
      <c r="H445" s="47"/>
      <c r="I445" s="47"/>
      <c r="J445" s="47"/>
      <c r="K445" s="47"/>
      <c r="L445" s="47"/>
      <c r="M445" s="47"/>
      <c r="N445" s="47"/>
      <c r="O445" s="47"/>
      <c r="P445" s="47"/>
      <c r="Q445" s="47"/>
      <c r="R445" s="47"/>
      <c r="S445" s="47"/>
      <c r="T445" s="47"/>
      <c r="U445" s="47"/>
      <c r="V445" s="48"/>
    </row>
    <row r="446" spans="2:22" ht="5.0999999999999996" customHeight="1" outlineLevel="1"/>
    <row r="447" spans="2:22" ht="13.5" customHeight="1" outlineLevel="1">
      <c r="B447" s="38" t="str">
        <f t="shared" ref="B447:B456" si="392">B1302</f>
        <v>Term loan - A</v>
      </c>
      <c r="L447" s="269">
        <f t="shared" ref="L447:L456" si="393">P1302</f>
        <v>4</v>
      </c>
      <c r="M447" s="270">
        <f>MAX($L447-SUM($M$148:M$148),0)</f>
        <v>3.25</v>
      </c>
      <c r="N447" s="270">
        <f>MAX($L447-SUM($M$148:N$148),0)</f>
        <v>2.25</v>
      </c>
      <c r="O447" s="270">
        <f>MAX($L447-SUM($M$148:O$148),0)</f>
        <v>1.25</v>
      </c>
      <c r="P447" s="270">
        <f>MAX($L447-SUM($M$148:P$148),0)</f>
        <v>0.25</v>
      </c>
      <c r="Q447" s="270">
        <f>MAX($L447-SUM($M$148:Q$148),0)</f>
        <v>0</v>
      </c>
      <c r="R447" s="270">
        <f>MAX($L447-SUM($M$148:R$148),0)</f>
        <v>0</v>
      </c>
      <c r="S447" s="270">
        <f>MAX($L447-SUM($M$148:S$148),0)</f>
        <v>0</v>
      </c>
      <c r="T447" s="270">
        <f>MAX($L447-SUM($M$148:T$148),0)</f>
        <v>0</v>
      </c>
      <c r="U447" s="270">
        <f>MAX($L447-SUM($M$148:U$148),0)</f>
        <v>0</v>
      </c>
      <c r="V447" s="270">
        <f>MAX($L447-SUM($M$148:V$148),0)</f>
        <v>0</v>
      </c>
    </row>
    <row r="448" spans="2:22" ht="13.5" customHeight="1" outlineLevel="1">
      <c r="B448" s="38" t="str">
        <f t="shared" si="392"/>
        <v>Term loan - B</v>
      </c>
      <c r="L448" s="269">
        <f t="shared" si="393"/>
        <v>4</v>
      </c>
      <c r="M448" s="270">
        <f>MAX($L448-SUM($M$148:M$148),0)</f>
        <v>3.25</v>
      </c>
      <c r="N448" s="270">
        <f>MAX($L448-SUM($M$148:N$148),0)</f>
        <v>2.25</v>
      </c>
      <c r="O448" s="270">
        <f>MAX($L448-SUM($M$148:O$148),0)</f>
        <v>1.25</v>
      </c>
      <c r="P448" s="270">
        <f>MAX($L448-SUM($M$148:P$148),0)</f>
        <v>0.25</v>
      </c>
      <c r="Q448" s="270">
        <f>MAX($L448-SUM($M$148:Q$148),0)</f>
        <v>0</v>
      </c>
      <c r="R448" s="270">
        <f>MAX($L448-SUM($M$148:R$148),0)</f>
        <v>0</v>
      </c>
      <c r="S448" s="270">
        <f>MAX($L448-SUM($M$148:S$148),0)</f>
        <v>0</v>
      </c>
      <c r="T448" s="270">
        <f>MAX($L448-SUM($M$148:T$148),0)</f>
        <v>0</v>
      </c>
      <c r="U448" s="270">
        <f>MAX($L448-SUM($M$148:U$148),0)</f>
        <v>0</v>
      </c>
      <c r="V448" s="270">
        <f>MAX($L448-SUM($M$148:V$148),0)</f>
        <v>0</v>
      </c>
    </row>
    <row r="449" spans="2:22" ht="13.5" customHeight="1" outlineLevel="1">
      <c r="B449" s="38" t="str">
        <f t="shared" si="392"/>
        <v>Senior note</v>
      </c>
      <c r="L449" s="269">
        <f t="shared" si="393"/>
        <v>4</v>
      </c>
      <c r="M449" s="270">
        <f>MAX($L449-SUM($M$148:M$148),0)</f>
        <v>3.25</v>
      </c>
      <c r="N449" s="270">
        <f>MAX($L449-SUM($M$148:N$148),0)</f>
        <v>2.25</v>
      </c>
      <c r="O449" s="270">
        <f>MAX($L449-SUM($M$148:O$148),0)</f>
        <v>1.25</v>
      </c>
      <c r="P449" s="270">
        <f>MAX($L449-SUM($M$148:P$148),0)</f>
        <v>0.25</v>
      </c>
      <c r="Q449" s="270">
        <f>MAX($L449-SUM($M$148:Q$148),0)</f>
        <v>0</v>
      </c>
      <c r="R449" s="270">
        <f>MAX($L449-SUM($M$148:R$148),0)</f>
        <v>0</v>
      </c>
      <c r="S449" s="270">
        <f>MAX($L449-SUM($M$148:S$148),0)</f>
        <v>0</v>
      </c>
      <c r="T449" s="270">
        <f>MAX($L449-SUM($M$148:T$148),0)</f>
        <v>0</v>
      </c>
      <c r="U449" s="270">
        <f>MAX($L449-SUM($M$148:U$148),0)</f>
        <v>0</v>
      </c>
      <c r="V449" s="270">
        <f>MAX($L449-SUM($M$148:V$148),0)</f>
        <v>0</v>
      </c>
    </row>
    <row r="450" spans="2:22" ht="13.5" customHeight="1" outlineLevel="1">
      <c r="B450" s="38" t="str">
        <f t="shared" si="392"/>
        <v>Subordinated note</v>
      </c>
      <c r="L450" s="269">
        <f t="shared" si="393"/>
        <v>4</v>
      </c>
      <c r="M450" s="270">
        <f>MAX($L450-SUM($M$148:M$148),0)</f>
        <v>3.25</v>
      </c>
      <c r="N450" s="270">
        <f>MAX($L450-SUM($M$148:N$148),0)</f>
        <v>2.25</v>
      </c>
      <c r="O450" s="270">
        <f>MAX($L450-SUM($M$148:O$148),0)</f>
        <v>1.25</v>
      </c>
      <c r="P450" s="270">
        <f>MAX($L450-SUM($M$148:P$148),0)</f>
        <v>0.25</v>
      </c>
      <c r="Q450" s="270">
        <f>MAX($L450-SUM($M$148:Q$148),0)</f>
        <v>0</v>
      </c>
      <c r="R450" s="270">
        <f>MAX($L450-SUM($M$148:R$148),0)</f>
        <v>0</v>
      </c>
      <c r="S450" s="270">
        <f>MAX($L450-SUM($M$148:S$148),0)</f>
        <v>0</v>
      </c>
      <c r="T450" s="270">
        <f>MAX($L450-SUM($M$148:T$148),0)</f>
        <v>0</v>
      </c>
      <c r="U450" s="270">
        <f>MAX($L450-SUM($M$148:U$148),0)</f>
        <v>0</v>
      </c>
      <c r="V450" s="270">
        <f>MAX($L450-SUM($M$148:V$148),0)</f>
        <v>0</v>
      </c>
    </row>
    <row r="451" spans="2:22" ht="13.5" customHeight="1" outlineLevel="1">
      <c r="B451" s="38" t="str">
        <f t="shared" si="392"/>
        <v>Mezzanine</v>
      </c>
      <c r="L451" s="269">
        <f t="shared" si="393"/>
        <v>4</v>
      </c>
      <c r="M451" s="270">
        <f>MAX($L451-SUM($M$148:M$148),0)</f>
        <v>3.25</v>
      </c>
      <c r="N451" s="270">
        <f>MAX($L451-SUM($M$148:N$148),0)</f>
        <v>2.25</v>
      </c>
      <c r="O451" s="270">
        <f>MAX($L451-SUM($M$148:O$148),0)</f>
        <v>1.25</v>
      </c>
      <c r="P451" s="270">
        <f>MAX($L451-SUM($M$148:P$148),0)</f>
        <v>0.25</v>
      </c>
      <c r="Q451" s="270">
        <f>MAX($L451-SUM($M$148:Q$148),0)</f>
        <v>0</v>
      </c>
      <c r="R451" s="270">
        <f>MAX($L451-SUM($M$148:R$148),0)</f>
        <v>0</v>
      </c>
      <c r="S451" s="270">
        <f>MAX($L451-SUM($M$148:S$148),0)</f>
        <v>0</v>
      </c>
      <c r="T451" s="270">
        <f>MAX($L451-SUM($M$148:T$148),0)</f>
        <v>0</v>
      </c>
      <c r="U451" s="270">
        <f>MAX($L451-SUM($M$148:U$148),0)</f>
        <v>0</v>
      </c>
      <c r="V451" s="270">
        <f>MAX($L451-SUM($M$148:V$148),0)</f>
        <v>0</v>
      </c>
    </row>
    <row r="452" spans="2:22" ht="13.5" customHeight="1" outlineLevel="1">
      <c r="B452" s="38" t="str">
        <f t="shared" si="392"/>
        <v>Seller note</v>
      </c>
      <c r="L452" s="269">
        <f t="shared" si="393"/>
        <v>4</v>
      </c>
      <c r="M452" s="270">
        <f>MAX($L452-SUM($M$148:M$148),0)</f>
        <v>3.25</v>
      </c>
      <c r="N452" s="270">
        <f>MAX($L452-SUM($M$148:N$148),0)</f>
        <v>2.25</v>
      </c>
      <c r="O452" s="270">
        <f>MAX($L452-SUM($M$148:O$148),0)</f>
        <v>1.25</v>
      </c>
      <c r="P452" s="270">
        <f>MAX($L452-SUM($M$148:P$148),0)</f>
        <v>0.25</v>
      </c>
      <c r="Q452" s="270">
        <f>MAX($L452-SUM($M$148:Q$148),0)</f>
        <v>0</v>
      </c>
      <c r="R452" s="270">
        <f>MAX($L452-SUM($M$148:R$148),0)</f>
        <v>0</v>
      </c>
      <c r="S452" s="270">
        <f>MAX($L452-SUM($M$148:S$148),0)</f>
        <v>0</v>
      </c>
      <c r="T452" s="270">
        <f>MAX($L452-SUM($M$148:T$148),0)</f>
        <v>0</v>
      </c>
      <c r="U452" s="270">
        <f>MAX($L452-SUM($M$148:U$148),0)</f>
        <v>0</v>
      </c>
      <c r="V452" s="270">
        <f>MAX($L452-SUM($M$148:V$148),0)</f>
        <v>0</v>
      </c>
    </row>
    <row r="453" spans="2:22" ht="13.5" customHeight="1" outlineLevel="1">
      <c r="B453" s="38" t="str">
        <f t="shared" si="392"/>
        <v>Convertible bond</v>
      </c>
      <c r="L453" s="269">
        <f t="shared" si="393"/>
        <v>4</v>
      </c>
      <c r="M453" s="270">
        <f>MAX($L453-SUM($M$148:M$148),0)</f>
        <v>3.25</v>
      </c>
      <c r="N453" s="270">
        <f>MAX($L453-SUM($M$148:N$148),0)</f>
        <v>2.25</v>
      </c>
      <c r="O453" s="270">
        <f>MAX($L453-SUM($M$148:O$148),0)</f>
        <v>1.25</v>
      </c>
      <c r="P453" s="270">
        <f>MAX($L453-SUM($M$148:P$148),0)</f>
        <v>0.25</v>
      </c>
      <c r="Q453" s="270">
        <f>MAX($L453-SUM($M$148:Q$148),0)</f>
        <v>0</v>
      </c>
      <c r="R453" s="270">
        <f>MAX($L453-SUM($M$148:R$148),0)</f>
        <v>0</v>
      </c>
      <c r="S453" s="270">
        <f>MAX($L453-SUM($M$148:S$148),0)</f>
        <v>0</v>
      </c>
      <c r="T453" s="270">
        <f>MAX($L453-SUM($M$148:T$148),0)</f>
        <v>0</v>
      </c>
      <c r="U453" s="270">
        <f>MAX($L453-SUM($M$148:U$148),0)</f>
        <v>0</v>
      </c>
      <c r="V453" s="270">
        <f>MAX($L453-SUM($M$148:V$148),0)</f>
        <v>0</v>
      </c>
    </row>
    <row r="454" spans="2:22" ht="13.5" customHeight="1" outlineLevel="1">
      <c r="B454" s="38" t="str">
        <f t="shared" si="392"/>
        <v>[Debt 8]</v>
      </c>
      <c r="L454" s="269">
        <f t="shared" si="393"/>
        <v>4</v>
      </c>
      <c r="M454" s="270">
        <f>MAX($L454-SUM($M$148:M$148),0)</f>
        <v>3.25</v>
      </c>
      <c r="N454" s="270">
        <f>MAX($L454-SUM($M$148:N$148),0)</f>
        <v>2.25</v>
      </c>
      <c r="O454" s="270">
        <f>MAX($L454-SUM($M$148:O$148),0)</f>
        <v>1.25</v>
      </c>
      <c r="P454" s="270">
        <f>MAX($L454-SUM($M$148:P$148),0)</f>
        <v>0.25</v>
      </c>
      <c r="Q454" s="270">
        <f>MAX($L454-SUM($M$148:Q$148),0)</f>
        <v>0</v>
      </c>
      <c r="R454" s="270">
        <f>MAX($L454-SUM($M$148:R$148),0)</f>
        <v>0</v>
      </c>
      <c r="S454" s="270">
        <f>MAX($L454-SUM($M$148:S$148),0)</f>
        <v>0</v>
      </c>
      <c r="T454" s="270">
        <f>MAX($L454-SUM($M$148:T$148),0)</f>
        <v>0</v>
      </c>
      <c r="U454" s="270">
        <f>MAX($L454-SUM($M$148:U$148),0)</f>
        <v>0</v>
      </c>
      <c r="V454" s="270">
        <f>MAX($L454-SUM($M$148:V$148),0)</f>
        <v>0</v>
      </c>
    </row>
    <row r="455" spans="2:22" ht="13.5" customHeight="1" outlineLevel="1">
      <c r="B455" s="38" t="str">
        <f t="shared" si="392"/>
        <v>Preferred stock - A</v>
      </c>
      <c r="L455" s="269">
        <f t="shared" si="393"/>
        <v>4</v>
      </c>
      <c r="M455" s="270">
        <f>MAX($L455-SUM($M$148:M$148),0)</f>
        <v>3.25</v>
      </c>
      <c r="N455" s="270">
        <f>MAX($L455-SUM($M$148:N$148),0)</f>
        <v>2.25</v>
      </c>
      <c r="O455" s="270">
        <f>MAX($L455-SUM($M$148:O$148),0)</f>
        <v>1.25</v>
      </c>
      <c r="P455" s="270">
        <f>MAX($L455-SUM($M$148:P$148),0)</f>
        <v>0.25</v>
      </c>
      <c r="Q455" s="270">
        <f>MAX($L455-SUM($M$148:Q$148),0)</f>
        <v>0</v>
      </c>
      <c r="R455" s="270">
        <f>MAX($L455-SUM($M$148:R$148),0)</f>
        <v>0</v>
      </c>
      <c r="S455" s="270">
        <f>MAX($L455-SUM($M$148:S$148),0)</f>
        <v>0</v>
      </c>
      <c r="T455" s="270">
        <f>MAX($L455-SUM($M$148:T$148),0)</f>
        <v>0</v>
      </c>
      <c r="U455" s="270">
        <f>MAX($L455-SUM($M$148:U$148),0)</f>
        <v>0</v>
      </c>
      <c r="V455" s="270">
        <f>MAX($L455-SUM($M$148:V$148),0)</f>
        <v>0</v>
      </c>
    </row>
    <row r="456" spans="2:22" ht="13.5" customHeight="1" outlineLevel="1">
      <c r="B456" s="38" t="str">
        <f t="shared" si="392"/>
        <v>Preferred stock - B</v>
      </c>
      <c r="L456" s="269">
        <f t="shared" si="393"/>
        <v>4</v>
      </c>
      <c r="M456" s="270">
        <f>MAX($L456-SUM($M$148:M$148),0)</f>
        <v>3.25</v>
      </c>
      <c r="N456" s="270">
        <f>MAX($L456-SUM($M$148:N$148),0)</f>
        <v>2.25</v>
      </c>
      <c r="O456" s="270">
        <f>MAX($L456-SUM($M$148:O$148),0)</f>
        <v>1.25</v>
      </c>
      <c r="P456" s="270">
        <f>MAX($L456-SUM($M$148:P$148),0)</f>
        <v>0.25</v>
      </c>
      <c r="Q456" s="270">
        <f>MAX($L456-SUM($M$148:Q$148),0)</f>
        <v>0</v>
      </c>
      <c r="R456" s="270">
        <f>MAX($L456-SUM($M$148:R$148),0)</f>
        <v>0</v>
      </c>
      <c r="S456" s="270">
        <f>MAX($L456-SUM($M$148:S$148),0)</f>
        <v>0</v>
      </c>
      <c r="T456" s="270">
        <f>MAX($L456-SUM($M$148:T$148),0)</f>
        <v>0</v>
      </c>
      <c r="U456" s="270">
        <f>MAX($L456-SUM($M$148:U$148),0)</f>
        <v>0</v>
      </c>
      <c r="V456" s="270">
        <f>MAX($L456-SUM($M$148:V$148),0)</f>
        <v>0</v>
      </c>
    </row>
    <row r="457" spans="2:22" s="35" customFormat="1" ht="13.5" customHeight="1" outlineLevel="1">
      <c r="C457" s="38"/>
      <c r="D457" s="38"/>
      <c r="E457" s="38"/>
      <c r="F457" s="38"/>
      <c r="G457" s="38"/>
      <c r="H457" s="38"/>
      <c r="I457" s="38"/>
      <c r="J457" s="38"/>
      <c r="K457" s="38"/>
      <c r="L457" s="38"/>
      <c r="M457" s="190"/>
      <c r="N457" s="190"/>
      <c r="O457" s="190"/>
      <c r="P457" s="190"/>
      <c r="Q457" s="190"/>
      <c r="R457" s="190"/>
      <c r="S457" s="190"/>
      <c r="T457" s="190"/>
      <c r="U457" s="190"/>
      <c r="V457" s="190"/>
    </row>
    <row r="458" spans="2:22" s="35" customFormat="1" ht="13.5" customHeight="1" outlineLevel="1">
      <c r="B458" s="46" t="s">
        <v>713</v>
      </c>
      <c r="C458" s="47"/>
      <c r="D458" s="47"/>
      <c r="E458" s="47"/>
      <c r="F458" s="47"/>
      <c r="G458" s="47"/>
      <c r="H458" s="47"/>
      <c r="I458" s="47"/>
      <c r="J458" s="47"/>
      <c r="K458" s="47"/>
      <c r="L458" s="47"/>
      <c r="M458" s="47"/>
      <c r="N458" s="47"/>
      <c r="O458" s="47"/>
      <c r="P458" s="47"/>
      <c r="Q458" s="47"/>
      <c r="R458" s="47"/>
      <c r="S458" s="47"/>
      <c r="T458" s="47"/>
      <c r="U458" s="47"/>
      <c r="V458" s="48"/>
    </row>
    <row r="459" spans="2:22" ht="5.0999999999999996" customHeight="1" outlineLevel="1"/>
    <row r="460" spans="2:22" ht="13.5" customHeight="1" outlineLevel="1">
      <c r="B460" s="38" t="s">
        <v>182</v>
      </c>
      <c r="M460" s="54">
        <f t="shared" ref="M460:V460" ca="1" si="394">L247</f>
        <v>100</v>
      </c>
      <c r="N460" s="54">
        <f t="shared" ca="1" si="394"/>
        <v>110.85264471836908</v>
      </c>
      <c r="O460" s="54">
        <f t="shared" ca="1" si="394"/>
        <v>206.0195373034054</v>
      </c>
      <c r="P460" s="54">
        <f t="shared" ca="1" si="394"/>
        <v>305.69100303217533</v>
      </c>
      <c r="Q460" s="54">
        <f t="shared" ca="1" si="394"/>
        <v>405.98651969505573</v>
      </c>
      <c r="R460" s="54">
        <f t="shared" ca="1" si="394"/>
        <v>506.39392440259991</v>
      </c>
      <c r="S460" s="54">
        <f t="shared" ca="1" si="394"/>
        <v>552.11042502983628</v>
      </c>
      <c r="T460" s="54">
        <f t="shared" ca="1" si="394"/>
        <v>650.18406154967431</v>
      </c>
      <c r="U460" s="54">
        <f t="shared" ca="1" si="394"/>
        <v>648.99472750485597</v>
      </c>
      <c r="V460" s="54">
        <f t="shared" ca="1" si="394"/>
        <v>755.91255677183017</v>
      </c>
    </row>
    <row r="461" spans="2:22" ht="13.5" customHeight="1" outlineLevel="1">
      <c r="B461" s="38" t="s">
        <v>181</v>
      </c>
      <c r="M461" s="217">
        <f>-$K$19</f>
        <v>-100</v>
      </c>
      <c r="N461" s="217">
        <f t="shared" ref="N461:V461" si="395">-$K$19</f>
        <v>-100</v>
      </c>
      <c r="O461" s="217">
        <f t="shared" si="395"/>
        <v>-100</v>
      </c>
      <c r="P461" s="217">
        <f t="shared" si="395"/>
        <v>-100</v>
      </c>
      <c r="Q461" s="217">
        <f t="shared" si="395"/>
        <v>-100</v>
      </c>
      <c r="R461" s="217">
        <f t="shared" si="395"/>
        <v>-100</v>
      </c>
      <c r="S461" s="217">
        <f t="shared" si="395"/>
        <v>-100</v>
      </c>
      <c r="T461" s="217">
        <f t="shared" si="395"/>
        <v>-100</v>
      </c>
      <c r="U461" s="217">
        <f t="shared" si="395"/>
        <v>-100</v>
      </c>
      <c r="V461" s="217">
        <f t="shared" si="395"/>
        <v>-100</v>
      </c>
    </row>
    <row r="462" spans="2:22" ht="13.5" customHeight="1" outlineLevel="1">
      <c r="B462" s="52" t="s">
        <v>183</v>
      </c>
      <c r="C462" s="52"/>
      <c r="D462" s="52"/>
      <c r="E462" s="52"/>
      <c r="F462" s="52"/>
      <c r="G462" s="52"/>
      <c r="H462" s="52"/>
      <c r="I462" s="52"/>
      <c r="J462" s="52"/>
      <c r="K462" s="52"/>
      <c r="L462" s="52"/>
      <c r="M462" s="165">
        <f t="shared" ref="M462:V462" ca="1" si="396">SUM(M460:M461)</f>
        <v>0</v>
      </c>
      <c r="N462" s="165">
        <f t="shared" ca="1" si="396"/>
        <v>10.852644718369078</v>
      </c>
      <c r="O462" s="165">
        <f t="shared" ca="1" si="396"/>
        <v>106.0195373034054</v>
      </c>
      <c r="P462" s="165">
        <f t="shared" ca="1" si="396"/>
        <v>205.69100303217533</v>
      </c>
      <c r="Q462" s="165">
        <f t="shared" ca="1" si="396"/>
        <v>305.98651969505573</v>
      </c>
      <c r="R462" s="165">
        <f t="shared" ca="1" si="396"/>
        <v>406.39392440259991</v>
      </c>
      <c r="S462" s="165">
        <f t="shared" ca="1" si="396"/>
        <v>452.11042502983628</v>
      </c>
      <c r="T462" s="165">
        <f t="shared" ca="1" si="396"/>
        <v>550.18406154967431</v>
      </c>
      <c r="U462" s="165">
        <f t="shared" ca="1" si="396"/>
        <v>548.99472750485597</v>
      </c>
      <c r="V462" s="165">
        <f t="shared" ca="1" si="396"/>
        <v>655.91255677183017</v>
      </c>
    </row>
    <row r="463" spans="2:22" ht="13.5" customHeight="1" outlineLevel="1">
      <c r="B463" s="38" t="s">
        <v>705</v>
      </c>
      <c r="M463" s="217">
        <f t="shared" ref="M463:V463" ca="1" si="397">M355</f>
        <v>60.852644718369078</v>
      </c>
      <c r="N463" s="217">
        <f t="shared" ca="1" si="397"/>
        <v>95.166892585036337</v>
      </c>
      <c r="O463" s="217">
        <f t="shared" ca="1" si="397"/>
        <v>99.671465728769931</v>
      </c>
      <c r="P463" s="217">
        <f t="shared" ca="1" si="397"/>
        <v>100.29551666288039</v>
      </c>
      <c r="Q463" s="217">
        <f t="shared" ca="1" si="397"/>
        <v>100.40740470754417</v>
      </c>
      <c r="R463" s="217">
        <f t="shared" ca="1" si="397"/>
        <v>95.716500627236357</v>
      </c>
      <c r="S463" s="217">
        <f t="shared" ca="1" si="397"/>
        <v>98.073636519838061</v>
      </c>
      <c r="T463" s="217">
        <f t="shared" ca="1" si="397"/>
        <v>98.810665955181634</v>
      </c>
      <c r="U463" s="217">
        <f t="shared" ca="1" si="397"/>
        <v>106.91782926697417</v>
      </c>
      <c r="V463" s="217">
        <f t="shared" ca="1" si="397"/>
        <v>108.37392914976162</v>
      </c>
    </row>
    <row r="464" spans="2:22" ht="13.5" customHeight="1" outlineLevel="1">
      <c r="B464" s="52" t="s">
        <v>706</v>
      </c>
      <c r="C464" s="52"/>
      <c r="D464" s="52"/>
      <c r="E464" s="52"/>
      <c r="F464" s="52"/>
      <c r="G464" s="52"/>
      <c r="H464" s="52"/>
      <c r="I464" s="52"/>
      <c r="J464" s="52"/>
      <c r="K464" s="52"/>
      <c r="L464" s="52"/>
      <c r="M464" s="165">
        <f t="shared" ref="M464:V464" ca="1" si="398">SUM(M462:M463)</f>
        <v>60.852644718369078</v>
      </c>
      <c r="N464" s="165">
        <f t="shared" ca="1" si="398"/>
        <v>106.01953730340541</v>
      </c>
      <c r="O464" s="165">
        <f t="shared" ca="1" si="398"/>
        <v>205.69100303217533</v>
      </c>
      <c r="P464" s="165">
        <f t="shared" ca="1" si="398"/>
        <v>305.98651969505573</v>
      </c>
      <c r="Q464" s="165">
        <f t="shared" ca="1" si="398"/>
        <v>406.39392440259991</v>
      </c>
      <c r="R464" s="165">
        <f t="shared" ca="1" si="398"/>
        <v>502.11042502983628</v>
      </c>
      <c r="S464" s="165">
        <f t="shared" ca="1" si="398"/>
        <v>550.18406154967431</v>
      </c>
      <c r="T464" s="165">
        <f t="shared" ca="1" si="398"/>
        <v>648.99472750485597</v>
      </c>
      <c r="U464" s="165">
        <f t="shared" ca="1" si="398"/>
        <v>655.91255677183017</v>
      </c>
      <c r="V464" s="165">
        <f t="shared" ca="1" si="398"/>
        <v>764.28648592159175</v>
      </c>
    </row>
    <row r="465" spans="2:22" ht="13.5" customHeight="1" outlineLevel="1">
      <c r="B465" s="88" t="str">
        <f>B1254</f>
        <v>Term loan - A</v>
      </c>
      <c r="M465" s="57">
        <f>M543</f>
        <v>-7.5000000000000009</v>
      </c>
      <c r="N465" s="57">
        <f ca="1">N543</f>
        <v>0</v>
      </c>
      <c r="O465" s="57">
        <f t="shared" ref="O465:V465" ca="1" si="399">O543</f>
        <v>0</v>
      </c>
      <c r="P465" s="57">
        <f t="shared" ca="1" si="399"/>
        <v>0</v>
      </c>
      <c r="Q465" s="57">
        <f t="shared" ca="1" si="399"/>
        <v>0</v>
      </c>
      <c r="R465" s="57">
        <f t="shared" ca="1" si="399"/>
        <v>0</v>
      </c>
      <c r="S465" s="57">
        <f t="shared" ca="1" si="399"/>
        <v>0</v>
      </c>
      <c r="T465" s="57">
        <f t="shared" ca="1" si="399"/>
        <v>0</v>
      </c>
      <c r="U465" s="57">
        <f t="shared" ca="1" si="399"/>
        <v>0</v>
      </c>
      <c r="V465" s="57">
        <f t="shared" ca="1" si="399"/>
        <v>0</v>
      </c>
    </row>
    <row r="466" spans="2:22" ht="13.5" customHeight="1" outlineLevel="1">
      <c r="B466" s="88" t="str">
        <f t="shared" ref="B466:B474" si="400">B1255</f>
        <v>Term loan - B</v>
      </c>
      <c r="M466" s="57">
        <f>M572</f>
        <v>0</v>
      </c>
      <c r="N466" s="57">
        <f t="shared" ref="N466:V466" ca="1" si="401">N572</f>
        <v>0</v>
      </c>
      <c r="O466" s="57">
        <f t="shared" ca="1" si="401"/>
        <v>0</v>
      </c>
      <c r="P466" s="57">
        <f t="shared" ca="1" si="401"/>
        <v>0</v>
      </c>
      <c r="Q466" s="57">
        <f t="shared" ca="1" si="401"/>
        <v>0</v>
      </c>
      <c r="R466" s="57">
        <f t="shared" ca="1" si="401"/>
        <v>0</v>
      </c>
      <c r="S466" s="57">
        <f t="shared" ca="1" si="401"/>
        <v>0</v>
      </c>
      <c r="T466" s="57">
        <f t="shared" ca="1" si="401"/>
        <v>0</v>
      </c>
      <c r="U466" s="57">
        <f t="shared" ca="1" si="401"/>
        <v>0</v>
      </c>
      <c r="V466" s="57">
        <f t="shared" ca="1" si="401"/>
        <v>0</v>
      </c>
    </row>
    <row r="467" spans="2:22" ht="13.5" customHeight="1" outlineLevel="1">
      <c r="B467" s="88" t="str">
        <f t="shared" si="400"/>
        <v>Senior note</v>
      </c>
      <c r="M467" s="57">
        <f>M601</f>
        <v>0</v>
      </c>
      <c r="N467" s="57">
        <f t="shared" ref="N467:V467" ca="1" si="402">N601</f>
        <v>0</v>
      </c>
      <c r="O467" s="57">
        <f t="shared" ca="1" si="402"/>
        <v>0</v>
      </c>
      <c r="P467" s="57">
        <f t="shared" ca="1" si="402"/>
        <v>0</v>
      </c>
      <c r="Q467" s="57">
        <f t="shared" ca="1" si="402"/>
        <v>0</v>
      </c>
      <c r="R467" s="57">
        <f t="shared" ca="1" si="402"/>
        <v>0</v>
      </c>
      <c r="S467" s="57">
        <f t="shared" ca="1" si="402"/>
        <v>0</v>
      </c>
      <c r="T467" s="57">
        <f t="shared" ca="1" si="402"/>
        <v>-100</v>
      </c>
      <c r="U467" s="57">
        <f t="shared" ca="1" si="402"/>
        <v>0</v>
      </c>
      <c r="V467" s="57">
        <f t="shared" ca="1" si="402"/>
        <v>0</v>
      </c>
    </row>
    <row r="468" spans="2:22" ht="13.5" customHeight="1" outlineLevel="1">
      <c r="B468" s="88" t="str">
        <f t="shared" si="400"/>
        <v>Subordinated note</v>
      </c>
      <c r="M468" s="57">
        <f>M630</f>
        <v>0</v>
      </c>
      <c r="N468" s="57">
        <f t="shared" ref="N468:V468" ca="1" si="403">N630</f>
        <v>0</v>
      </c>
      <c r="O468" s="57">
        <f t="shared" ca="1" si="403"/>
        <v>0</v>
      </c>
      <c r="P468" s="57">
        <f t="shared" ca="1" si="403"/>
        <v>0</v>
      </c>
      <c r="Q468" s="57">
        <f t="shared" ca="1" si="403"/>
        <v>0</v>
      </c>
      <c r="R468" s="57">
        <f t="shared" ca="1" si="403"/>
        <v>-50</v>
      </c>
      <c r="S468" s="57">
        <f t="shared" ca="1" si="403"/>
        <v>0</v>
      </c>
      <c r="T468" s="57">
        <f t="shared" ca="1" si="403"/>
        <v>0</v>
      </c>
      <c r="U468" s="57">
        <f t="shared" ca="1" si="403"/>
        <v>0</v>
      </c>
      <c r="V468" s="57">
        <f t="shared" ca="1" si="403"/>
        <v>0</v>
      </c>
    </row>
    <row r="469" spans="2:22" ht="13.5" customHeight="1" outlineLevel="1">
      <c r="B469" s="88" t="str">
        <f t="shared" si="400"/>
        <v>Mezzanine</v>
      </c>
      <c r="M469" s="57">
        <f>M659</f>
        <v>0</v>
      </c>
      <c r="N469" s="57">
        <f t="shared" ref="N469:V469" ca="1" si="404">N659</f>
        <v>0</v>
      </c>
      <c r="O469" s="57">
        <f t="shared" ca="1" si="404"/>
        <v>0</v>
      </c>
      <c r="P469" s="57">
        <f t="shared" ca="1" si="404"/>
        <v>0</v>
      </c>
      <c r="Q469" s="57">
        <f t="shared" ca="1" si="404"/>
        <v>0</v>
      </c>
      <c r="R469" s="57">
        <f t="shared" ca="1" si="404"/>
        <v>0</v>
      </c>
      <c r="S469" s="57">
        <f t="shared" ca="1" si="404"/>
        <v>0</v>
      </c>
      <c r="T469" s="57">
        <f t="shared" ca="1" si="404"/>
        <v>0</v>
      </c>
      <c r="U469" s="57">
        <f t="shared" ca="1" si="404"/>
        <v>0</v>
      </c>
      <c r="V469" s="57">
        <f t="shared" ca="1" si="404"/>
        <v>0</v>
      </c>
    </row>
    <row r="470" spans="2:22" ht="13.5" customHeight="1" outlineLevel="1">
      <c r="B470" s="88" t="str">
        <f t="shared" si="400"/>
        <v>Seller note</v>
      </c>
      <c r="M470" s="57">
        <f>M688</f>
        <v>0</v>
      </c>
      <c r="N470" s="57">
        <f t="shared" ref="N470:V470" ca="1" si="405">N688</f>
        <v>0</v>
      </c>
      <c r="O470" s="57">
        <f t="shared" ca="1" si="405"/>
        <v>0</v>
      </c>
      <c r="P470" s="57">
        <f t="shared" ca="1" si="405"/>
        <v>0</v>
      </c>
      <c r="Q470" s="57">
        <f t="shared" ca="1" si="405"/>
        <v>0</v>
      </c>
      <c r="R470" s="57">
        <f t="shared" ca="1" si="405"/>
        <v>0</v>
      </c>
      <c r="S470" s="57">
        <f t="shared" ca="1" si="405"/>
        <v>0</v>
      </c>
      <c r="T470" s="57">
        <f t="shared" ca="1" si="405"/>
        <v>0</v>
      </c>
      <c r="U470" s="57">
        <f t="shared" ca="1" si="405"/>
        <v>0</v>
      </c>
      <c r="V470" s="57">
        <f t="shared" ca="1" si="405"/>
        <v>0</v>
      </c>
    </row>
    <row r="471" spans="2:22" ht="13.5" customHeight="1" outlineLevel="1">
      <c r="B471" s="88" t="str">
        <f t="shared" si="400"/>
        <v>Convertible bond</v>
      </c>
      <c r="M471" s="57">
        <f>M717</f>
        <v>0</v>
      </c>
      <c r="N471" s="57">
        <f t="shared" ref="N471:V471" ca="1" si="406">N717</f>
        <v>0</v>
      </c>
      <c r="O471" s="57">
        <f t="shared" ca="1" si="406"/>
        <v>0</v>
      </c>
      <c r="P471" s="57">
        <f t="shared" ca="1" si="406"/>
        <v>0</v>
      </c>
      <c r="Q471" s="57">
        <f t="shared" ca="1" si="406"/>
        <v>0</v>
      </c>
      <c r="R471" s="57">
        <f t="shared" ca="1" si="406"/>
        <v>0</v>
      </c>
      <c r="S471" s="57">
        <f t="shared" ca="1" si="406"/>
        <v>0</v>
      </c>
      <c r="T471" s="57">
        <f t="shared" ca="1" si="406"/>
        <v>0</v>
      </c>
      <c r="U471" s="57">
        <f t="shared" ca="1" si="406"/>
        <v>0</v>
      </c>
      <c r="V471" s="57">
        <f t="shared" ca="1" si="406"/>
        <v>0</v>
      </c>
    </row>
    <row r="472" spans="2:22" ht="13.5" customHeight="1" outlineLevel="1">
      <c r="B472" s="88" t="str">
        <f t="shared" si="400"/>
        <v>[Debt 8]</v>
      </c>
      <c r="M472" s="57">
        <f>M746</f>
        <v>0</v>
      </c>
      <c r="N472" s="57">
        <f t="shared" ref="N472:V472" ca="1" si="407">N746</f>
        <v>0</v>
      </c>
      <c r="O472" s="57">
        <f t="shared" ca="1" si="407"/>
        <v>0</v>
      </c>
      <c r="P472" s="57">
        <f t="shared" ca="1" si="407"/>
        <v>0</v>
      </c>
      <c r="Q472" s="57">
        <f t="shared" ca="1" si="407"/>
        <v>0</v>
      </c>
      <c r="R472" s="57">
        <f t="shared" ca="1" si="407"/>
        <v>0</v>
      </c>
      <c r="S472" s="57">
        <f t="shared" ca="1" si="407"/>
        <v>0</v>
      </c>
      <c r="T472" s="57">
        <f t="shared" ca="1" si="407"/>
        <v>0</v>
      </c>
      <c r="U472" s="57">
        <f t="shared" ca="1" si="407"/>
        <v>0</v>
      </c>
      <c r="V472" s="57">
        <f t="shared" ca="1" si="407"/>
        <v>0</v>
      </c>
    </row>
    <row r="473" spans="2:22" ht="13.5" customHeight="1" outlineLevel="1">
      <c r="B473" s="88" t="str">
        <f t="shared" si="400"/>
        <v>Preferred stock - A</v>
      </c>
      <c r="M473" s="57">
        <f>M775</f>
        <v>0</v>
      </c>
      <c r="N473" s="57">
        <f t="shared" ref="N473:V473" ca="1" si="408">N775</f>
        <v>0</v>
      </c>
      <c r="O473" s="57">
        <f t="shared" ca="1" si="408"/>
        <v>0</v>
      </c>
      <c r="P473" s="57">
        <f t="shared" ca="1" si="408"/>
        <v>0</v>
      </c>
      <c r="Q473" s="57">
        <f t="shared" ca="1" si="408"/>
        <v>0</v>
      </c>
      <c r="R473" s="57">
        <f t="shared" ca="1" si="408"/>
        <v>0</v>
      </c>
      <c r="S473" s="57">
        <f t="shared" ca="1" si="408"/>
        <v>0</v>
      </c>
      <c r="T473" s="57">
        <f t="shared" ca="1" si="408"/>
        <v>0</v>
      </c>
      <c r="U473" s="57">
        <f t="shared" ca="1" si="408"/>
        <v>0</v>
      </c>
      <c r="V473" s="57">
        <f t="shared" ca="1" si="408"/>
        <v>0</v>
      </c>
    </row>
    <row r="474" spans="2:22" ht="13.5" customHeight="1" outlineLevel="1">
      <c r="B474" s="88" t="str">
        <f t="shared" si="400"/>
        <v>Preferred stock - B</v>
      </c>
      <c r="M474" s="57">
        <f>M804</f>
        <v>0</v>
      </c>
      <c r="N474" s="57">
        <f t="shared" ref="N474:V474" ca="1" si="409">N804</f>
        <v>0</v>
      </c>
      <c r="O474" s="57">
        <f t="shared" ca="1" si="409"/>
        <v>0</v>
      </c>
      <c r="P474" s="57">
        <f t="shared" ca="1" si="409"/>
        <v>0</v>
      </c>
      <c r="Q474" s="57">
        <f t="shared" ca="1" si="409"/>
        <v>0</v>
      </c>
      <c r="R474" s="57">
        <f t="shared" ca="1" si="409"/>
        <v>0</v>
      </c>
      <c r="S474" s="57">
        <f t="shared" ca="1" si="409"/>
        <v>0</v>
      </c>
      <c r="T474" s="57">
        <f t="shared" ca="1" si="409"/>
        <v>0</v>
      </c>
      <c r="U474" s="57">
        <f t="shared" ca="1" si="409"/>
        <v>0</v>
      </c>
      <c r="V474" s="57">
        <f t="shared" ca="1" si="409"/>
        <v>0</v>
      </c>
    </row>
    <row r="475" spans="2:22" ht="13.5" customHeight="1" outlineLevel="1">
      <c r="B475" s="52" t="s">
        <v>707</v>
      </c>
      <c r="C475" s="52"/>
      <c r="D475" s="52"/>
      <c r="E475" s="52"/>
      <c r="F475" s="52"/>
      <c r="G475" s="67"/>
      <c r="H475" s="87"/>
      <c r="I475" s="87"/>
      <c r="J475" s="87"/>
      <c r="K475" s="87"/>
      <c r="L475" s="87"/>
      <c r="M475" s="87">
        <f ca="1">SUM(M465:OFFSET(M475,-1,0))</f>
        <v>-7.5000000000000009</v>
      </c>
      <c r="N475" s="87">
        <f ca="1">SUM(N465:OFFSET(N475,-1,0))</f>
        <v>0</v>
      </c>
      <c r="O475" s="87">
        <f ca="1">SUM(O465:OFFSET(O475,-1,0))</f>
        <v>0</v>
      </c>
      <c r="P475" s="87">
        <f ca="1">SUM(P465:OFFSET(P475,-1,0))</f>
        <v>0</v>
      </c>
      <c r="Q475" s="87">
        <f ca="1">SUM(Q465:OFFSET(Q475,-1,0))</f>
        <v>0</v>
      </c>
      <c r="R475" s="87">
        <f ca="1">SUM(R465:OFFSET(R475,-1,0))</f>
        <v>-50</v>
      </c>
      <c r="S475" s="87">
        <f ca="1">SUM(S465:OFFSET(S475,-1,0))</f>
        <v>0</v>
      </c>
      <c r="T475" s="87">
        <f ca="1">SUM(T465:OFFSET(T475,-1,0))</f>
        <v>-100</v>
      </c>
      <c r="U475" s="87">
        <f ca="1">SUM(U465:OFFSET(U475,-1,0))</f>
        <v>0</v>
      </c>
      <c r="V475" s="87">
        <f ca="1">SUM(V465:OFFSET(V475,-1,0))</f>
        <v>0</v>
      </c>
    </row>
    <row r="476" spans="2:22" ht="13.5" customHeight="1" outlineLevel="1">
      <c r="B476" s="104" t="s">
        <v>708</v>
      </c>
      <c r="C476" s="104"/>
      <c r="D476" s="104"/>
      <c r="E476" s="104"/>
      <c r="F476" s="105"/>
      <c r="G476" s="271"/>
      <c r="H476" s="271"/>
      <c r="I476" s="271"/>
      <c r="J476" s="271"/>
      <c r="K476" s="271"/>
      <c r="L476" s="271"/>
      <c r="M476" s="271">
        <f ca="1">M464+M475</f>
        <v>53.352644718369078</v>
      </c>
      <c r="N476" s="271">
        <f t="shared" ref="N476:V476" ca="1" si="410">N464+N475</f>
        <v>106.01953730340541</v>
      </c>
      <c r="O476" s="271">
        <f t="shared" ca="1" si="410"/>
        <v>205.69100303217533</v>
      </c>
      <c r="P476" s="271">
        <f t="shared" ca="1" si="410"/>
        <v>305.98651969505573</v>
      </c>
      <c r="Q476" s="271">
        <f t="shared" ca="1" si="410"/>
        <v>406.39392440259991</v>
      </c>
      <c r="R476" s="271">
        <f t="shared" ca="1" si="410"/>
        <v>452.11042502983628</v>
      </c>
      <c r="S476" s="271">
        <f t="shared" ca="1" si="410"/>
        <v>550.18406154967431</v>
      </c>
      <c r="T476" s="271">
        <f t="shared" ca="1" si="410"/>
        <v>548.99472750485597</v>
      </c>
      <c r="U476" s="271">
        <f t="shared" ca="1" si="410"/>
        <v>655.91255677183017</v>
      </c>
      <c r="V476" s="271">
        <f t="shared" ca="1" si="410"/>
        <v>764.28648592159175</v>
      </c>
    </row>
    <row r="477" spans="2:22" ht="13.5" customHeight="1" outlineLevel="1">
      <c r="M477" s="190"/>
      <c r="N477" s="190"/>
      <c r="O477" s="190"/>
      <c r="P477" s="190"/>
      <c r="Q477" s="190"/>
      <c r="R477" s="190"/>
      <c r="S477" s="190"/>
      <c r="T477" s="190"/>
      <c r="U477" s="190"/>
      <c r="V477" s="190"/>
    </row>
    <row r="478" spans="2:22" ht="13.5" customHeight="1" outlineLevel="1">
      <c r="B478" s="150" t="s">
        <v>184</v>
      </c>
      <c r="K478" s="254" t="s">
        <v>505</v>
      </c>
      <c r="M478" s="190"/>
      <c r="N478" s="190"/>
      <c r="O478" s="190"/>
      <c r="P478" s="190"/>
      <c r="Q478" s="190"/>
      <c r="R478" s="190"/>
      <c r="S478" s="190"/>
      <c r="T478" s="190"/>
      <c r="U478" s="190"/>
      <c r="V478" s="190"/>
    </row>
    <row r="479" spans="2:22" ht="13.5" customHeight="1" outlineLevel="1">
      <c r="B479" s="38" t="s">
        <v>26</v>
      </c>
      <c r="K479" s="198">
        <f>S1301</f>
        <v>1</v>
      </c>
      <c r="M479" s="84">
        <f ca="1">-MAX(0,MIN(M496,SUM(M$476:M478),$L499*$K479))</f>
        <v>0</v>
      </c>
      <c r="N479" s="84">
        <f ca="1">-MAX(0,MIN(N496,SUM(N$476:N478),$L499*$K479))</f>
        <v>0</v>
      </c>
      <c r="O479" s="84">
        <f ca="1">-MAX(0,MIN(O496,SUM(O$476:O478),$L499*$K479))</f>
        <v>0</v>
      </c>
      <c r="P479" s="84">
        <f ca="1">-MAX(0,MIN(P496,SUM(P$476:P478),$L499*$K479))</f>
        <v>0</v>
      </c>
      <c r="Q479" s="84">
        <f ca="1">-MAX(0,MIN(Q496,SUM(Q$476:Q478),$L499*$K479))</f>
        <v>0</v>
      </c>
      <c r="R479" s="84">
        <f ca="1">-MAX(0,MIN(R496,SUM(R$476:R478),$L499*$K479))</f>
        <v>0</v>
      </c>
      <c r="S479" s="84">
        <f ca="1">-MAX(0,MIN(S496,SUM(S$476:S478),$L499*$K479))</f>
        <v>0</v>
      </c>
      <c r="T479" s="84">
        <f ca="1">-MAX(0,MIN(T496,SUM(T$476:T478),$L499*$K479))</f>
        <v>0</v>
      </c>
      <c r="U479" s="84">
        <f ca="1">-MAX(0,MIN(U496,SUM(U$476:U478),$L499*$K479))</f>
        <v>0</v>
      </c>
      <c r="V479" s="84">
        <f ca="1">-MAX(0,MIN(V496,SUM(V$476:V478),$L499*$K479))</f>
        <v>0</v>
      </c>
    </row>
    <row r="480" spans="2:22" ht="13.5" customHeight="1" outlineLevel="1">
      <c r="B480" s="38" t="str">
        <f>B1291</f>
        <v>Legacy debt</v>
      </c>
      <c r="K480" s="198">
        <f>S1300</f>
        <v>0</v>
      </c>
      <c r="M480" s="57">
        <f ca="1">-MAX(0,MIN(SUM(M512:M514),SUM(M$476:M479),$L516*$K480))</f>
        <v>0</v>
      </c>
      <c r="N480" s="57">
        <f ca="1">-MAX(0,MIN(SUM(N512:N514),SUM(N$476:N479),$L516*$K480))</f>
        <v>0</v>
      </c>
      <c r="O480" s="57">
        <f ca="1">-MAX(0,MIN(SUM(O512:O514),SUM(O$476:O479),$L516*$K480))</f>
        <v>0</v>
      </c>
      <c r="P480" s="57">
        <f ca="1">-MAX(0,MIN(SUM(P512:P514),SUM(P$476:P479),$L516*$K480))</f>
        <v>0</v>
      </c>
      <c r="Q480" s="57">
        <f ca="1">-MAX(0,MIN(SUM(Q512:Q514),SUM(Q$476:Q479),$L516*$K480))</f>
        <v>0</v>
      </c>
      <c r="R480" s="57">
        <f ca="1">-MAX(0,MIN(SUM(R512:R514),SUM(R$476:R479),$L516*$K480))</f>
        <v>0</v>
      </c>
      <c r="S480" s="57">
        <f ca="1">-MAX(0,MIN(SUM(S512:S514),SUM(S$476:S479),$L516*$K480))</f>
        <v>0</v>
      </c>
      <c r="T480" s="57">
        <f ca="1">-MAX(0,MIN(SUM(T512:T514),SUM(T$476:T479),$L516*$K480))</f>
        <v>0</v>
      </c>
      <c r="U480" s="57">
        <f ca="1">-MAX(0,MIN(SUM(U512:U514),SUM(U$476:U479),$L516*$K480))</f>
        <v>0</v>
      </c>
      <c r="V480" s="57">
        <f ca="1">-MAX(0,MIN(SUM(V512:V514),SUM(V$476:V479),$L516*$K480))</f>
        <v>0</v>
      </c>
    </row>
    <row r="481" spans="2:22" ht="13.5" customHeight="1" outlineLevel="1">
      <c r="B481" s="38" t="str">
        <f>B1254</f>
        <v>Term loan - A</v>
      </c>
      <c r="K481" s="198">
        <f t="shared" ref="K481:K489" si="411">S1302</f>
        <v>1</v>
      </c>
      <c r="M481" s="57">
        <f ca="1">-MAX(0,MIN(SUM(M541:M543),SUM(M$476:M480),$L545*$K481))</f>
        <v>-42.5</v>
      </c>
      <c r="N481" s="57">
        <f ca="1">-MAX(0,MIN(SUM(N541:N543),SUM(N$476:N480),$L545*$K481))</f>
        <v>0</v>
      </c>
      <c r="O481" s="57">
        <f ca="1">-MAX(0,MIN(SUM(O541:O543),SUM(O$476:O480),$L545*$K481))</f>
        <v>0</v>
      </c>
      <c r="P481" s="57">
        <f ca="1">-MAX(0,MIN(SUM(P541:P543),SUM(P$476:P480),$L545*$K481))</f>
        <v>0</v>
      </c>
      <c r="Q481" s="57">
        <f ca="1">-MAX(0,MIN(SUM(Q541:Q543),SUM(Q$476:Q480),$L545*$K481))</f>
        <v>0</v>
      </c>
      <c r="R481" s="57">
        <f ca="1">-MAX(0,MIN(SUM(R541:R543),SUM(R$476:R480),$L545*$K481))</f>
        <v>0</v>
      </c>
      <c r="S481" s="57">
        <f ca="1">-MAX(0,MIN(SUM(S541:S543),SUM(S$476:S480),$L545*$K481))</f>
        <v>0</v>
      </c>
      <c r="T481" s="57">
        <f ca="1">-MAX(0,MIN(SUM(T541:T543),SUM(T$476:T480),$L545*$K481))</f>
        <v>0</v>
      </c>
      <c r="U481" s="57">
        <f ca="1">-MAX(0,MIN(SUM(U541:U543),SUM(U$476:U480),$L545*$K481))</f>
        <v>0</v>
      </c>
      <c r="V481" s="57">
        <f ca="1">-MAX(0,MIN(SUM(V541:V543),SUM(V$476:V480),$L545*$K481))</f>
        <v>0</v>
      </c>
    </row>
    <row r="482" spans="2:22" ht="13.5" customHeight="1" outlineLevel="1">
      <c r="B482" s="38" t="str">
        <f t="shared" ref="B482:B489" si="412">B1255</f>
        <v>Term loan - B</v>
      </c>
      <c r="K482" s="198">
        <f t="shared" si="411"/>
        <v>1</v>
      </c>
      <c r="M482" s="57">
        <f ca="1">-MAX(0,MIN(SUM(M570:M572),SUM(M$476:M481),$L574*$K482))</f>
        <v>0</v>
      </c>
      <c r="N482" s="57">
        <f ca="1">-MAX(0,MIN(SUM(N570:N572),SUM(N$476:N481),$L574*$K482))</f>
        <v>0</v>
      </c>
      <c r="O482" s="57">
        <f ca="1">-MAX(0,MIN(SUM(O570:O572),SUM(O$476:O481),$L574*$K482))</f>
        <v>0</v>
      </c>
      <c r="P482" s="57">
        <f ca="1">-MAX(0,MIN(SUM(P570:P572),SUM(P$476:P481),$L574*$K482))</f>
        <v>0</v>
      </c>
      <c r="Q482" s="57">
        <f ca="1">-MAX(0,MIN(SUM(Q570:Q572),SUM(Q$476:Q481),$L574*$K482))</f>
        <v>0</v>
      </c>
      <c r="R482" s="57">
        <f ca="1">-MAX(0,MIN(SUM(R570:R572),SUM(R$476:R481),$L574*$K482))</f>
        <v>0</v>
      </c>
      <c r="S482" s="57">
        <f ca="1">-MAX(0,MIN(SUM(S570:S572),SUM(S$476:S481),$L574*$K482))</f>
        <v>0</v>
      </c>
      <c r="T482" s="57">
        <f ca="1">-MAX(0,MIN(SUM(T570:T572),SUM(T$476:T481),$L574*$K482))</f>
        <v>0</v>
      </c>
      <c r="U482" s="57">
        <f ca="1">-MAX(0,MIN(SUM(U570:U572),SUM(U$476:U481),$L574*$K482))</f>
        <v>0</v>
      </c>
      <c r="V482" s="57">
        <f ca="1">-MAX(0,MIN(SUM(V570:V572),SUM(V$476:V481),$L574*$K482))</f>
        <v>0</v>
      </c>
    </row>
    <row r="483" spans="2:22" ht="13.5" customHeight="1" outlineLevel="1">
      <c r="B483" s="38" t="str">
        <f t="shared" si="412"/>
        <v>Senior note</v>
      </c>
      <c r="K483" s="198">
        <f t="shared" si="411"/>
        <v>0</v>
      </c>
      <c r="M483" s="57">
        <f ca="1">-MAX(0,MIN(SUM(M599:M601),SUM(M$476:M482),$L603*$K483))</f>
        <v>0</v>
      </c>
      <c r="N483" s="57">
        <f ca="1">-MAX(0,MIN(SUM(N599:N601),SUM(N$476:N482),$L603*$K483))</f>
        <v>0</v>
      </c>
      <c r="O483" s="57">
        <f ca="1">-MAX(0,MIN(SUM(O599:O601),SUM(O$476:O482),$L603*$K483))</f>
        <v>0</v>
      </c>
      <c r="P483" s="57">
        <f ca="1">-MAX(0,MIN(SUM(P599:P601),SUM(P$476:P482),$L603*$K483))</f>
        <v>0</v>
      </c>
      <c r="Q483" s="57">
        <f ca="1">-MAX(0,MIN(SUM(Q599:Q601),SUM(Q$476:Q482),$L603*$K483))</f>
        <v>0</v>
      </c>
      <c r="R483" s="57">
        <f ca="1">-MAX(0,MIN(SUM(R599:R601),SUM(R$476:R482),$L603*$K483))</f>
        <v>0</v>
      </c>
      <c r="S483" s="57">
        <f ca="1">-MAX(0,MIN(SUM(S599:S601),SUM(S$476:S482),$L603*$K483))</f>
        <v>0</v>
      </c>
      <c r="T483" s="57">
        <f ca="1">-MAX(0,MIN(SUM(T599:T601),SUM(T$476:T482),$L603*$K483))</f>
        <v>0</v>
      </c>
      <c r="U483" s="57">
        <f ca="1">-MAX(0,MIN(SUM(U599:U601),SUM(U$476:U482),$L603*$K483))</f>
        <v>0</v>
      </c>
      <c r="V483" s="57">
        <f ca="1">-MAX(0,MIN(SUM(V599:V601),SUM(V$476:V482),$L603*$K483))</f>
        <v>0</v>
      </c>
    </row>
    <row r="484" spans="2:22" ht="13.5" customHeight="1" outlineLevel="1">
      <c r="B484" s="38" t="str">
        <f t="shared" si="412"/>
        <v>Subordinated note</v>
      </c>
      <c r="K484" s="198">
        <f t="shared" si="411"/>
        <v>0</v>
      </c>
      <c r="M484" s="57">
        <f ca="1">-MAX(0,MIN(SUM(M628:M630),SUM(M$476:M483),$L632*$K484))</f>
        <v>0</v>
      </c>
      <c r="N484" s="57">
        <f ca="1">-MAX(0,MIN(SUM(N628:N630),SUM(N$476:N483),$L632*$K484))</f>
        <v>0</v>
      </c>
      <c r="O484" s="57">
        <f ca="1">-MAX(0,MIN(SUM(O628:O630),SUM(O$476:O483),$L632*$K484))</f>
        <v>0</v>
      </c>
      <c r="P484" s="57">
        <f ca="1">-MAX(0,MIN(SUM(P628:P630),SUM(P$476:P483),$L632*$K484))</f>
        <v>0</v>
      </c>
      <c r="Q484" s="57">
        <f ca="1">-MAX(0,MIN(SUM(Q628:Q630),SUM(Q$476:Q483),$L632*$K484))</f>
        <v>0</v>
      </c>
      <c r="R484" s="57">
        <f ca="1">-MAX(0,MIN(SUM(R628:R630),SUM(R$476:R483),$L632*$K484))</f>
        <v>0</v>
      </c>
      <c r="S484" s="57">
        <f ca="1">-MAX(0,MIN(SUM(S628:S630),SUM(S$476:S483),$L632*$K484))</f>
        <v>0</v>
      </c>
      <c r="T484" s="57">
        <f ca="1">-MAX(0,MIN(SUM(T628:T630),SUM(T$476:T483),$L632*$K484))</f>
        <v>0</v>
      </c>
      <c r="U484" s="57">
        <f ca="1">-MAX(0,MIN(SUM(U628:U630),SUM(U$476:U483),$L632*$K484))</f>
        <v>0</v>
      </c>
      <c r="V484" s="57">
        <f ca="1">-MAX(0,MIN(SUM(V628:V630),SUM(V$476:V483),$L632*$K484))</f>
        <v>0</v>
      </c>
    </row>
    <row r="485" spans="2:22" ht="13.5" customHeight="1" outlineLevel="1">
      <c r="B485" s="38" t="str">
        <f t="shared" si="412"/>
        <v>Mezzanine</v>
      </c>
      <c r="K485" s="198">
        <f t="shared" si="411"/>
        <v>0</v>
      </c>
      <c r="M485" s="57">
        <f ca="1">-MAX(0,MIN(SUM(M657:M659),SUM(M$476:M484),$L661*$K485))</f>
        <v>0</v>
      </c>
      <c r="N485" s="57">
        <f ca="1">-MAX(0,MIN(SUM(N657:N659),SUM(N$476:N484),$L661*$K485))</f>
        <v>0</v>
      </c>
      <c r="O485" s="57">
        <f ca="1">-MAX(0,MIN(SUM(O657:O659),SUM(O$476:O484),$L661*$K485))</f>
        <v>0</v>
      </c>
      <c r="P485" s="57">
        <f ca="1">-MAX(0,MIN(SUM(P657:P659),SUM(P$476:P484),$L661*$K485))</f>
        <v>0</v>
      </c>
      <c r="Q485" s="57">
        <f ca="1">-MAX(0,MIN(SUM(Q657:Q659),SUM(Q$476:Q484),$L661*$K485))</f>
        <v>0</v>
      </c>
      <c r="R485" s="57">
        <f ca="1">-MAX(0,MIN(SUM(R657:R659),SUM(R$476:R484),$L661*$K485))</f>
        <v>0</v>
      </c>
      <c r="S485" s="57">
        <f ca="1">-MAX(0,MIN(SUM(S657:S659),SUM(S$476:S484),$L661*$K485))</f>
        <v>0</v>
      </c>
      <c r="T485" s="57">
        <f ca="1">-MAX(0,MIN(SUM(T657:T659),SUM(T$476:T484),$L661*$K485))</f>
        <v>0</v>
      </c>
      <c r="U485" s="57">
        <f ca="1">-MAX(0,MIN(SUM(U657:U659),SUM(U$476:U484),$L661*$K485))</f>
        <v>0</v>
      </c>
      <c r="V485" s="57">
        <f ca="1">-MAX(0,MIN(SUM(V657:V659),SUM(V$476:V484),$L661*$K485))</f>
        <v>0</v>
      </c>
    </row>
    <row r="486" spans="2:22" ht="13.5" customHeight="1" outlineLevel="1">
      <c r="B486" s="38" t="str">
        <f t="shared" si="412"/>
        <v>Seller note</v>
      </c>
      <c r="K486" s="198">
        <f t="shared" si="411"/>
        <v>0</v>
      </c>
      <c r="M486" s="57">
        <f ca="1">-MAX(0,MIN(SUM(M686:M688),SUM(M$476:M485),$L690*$K486))</f>
        <v>0</v>
      </c>
      <c r="N486" s="57">
        <f ca="1">-MAX(0,MIN(SUM(N686:N688),SUM(N$476:N485),$L690*$K486))</f>
        <v>0</v>
      </c>
      <c r="O486" s="57">
        <f ca="1">-MAX(0,MIN(SUM(O686:O688),SUM(O$476:O485),$L690*$K486))</f>
        <v>0</v>
      </c>
      <c r="P486" s="57">
        <f ca="1">-MAX(0,MIN(SUM(P686:P688),SUM(P$476:P485),$L690*$K486))</f>
        <v>0</v>
      </c>
      <c r="Q486" s="57">
        <f ca="1">-MAX(0,MIN(SUM(Q686:Q688),SUM(Q$476:Q485),$L690*$K486))</f>
        <v>0</v>
      </c>
      <c r="R486" s="57">
        <f ca="1">-MAX(0,MIN(SUM(R686:R688),SUM(R$476:R485),$L690*$K486))</f>
        <v>0</v>
      </c>
      <c r="S486" s="57">
        <f ca="1">-MAX(0,MIN(SUM(S686:S688),SUM(S$476:S485),$L690*$K486))</f>
        <v>0</v>
      </c>
      <c r="T486" s="57">
        <f ca="1">-MAX(0,MIN(SUM(T686:T688),SUM(T$476:T485),$L690*$K486))</f>
        <v>0</v>
      </c>
      <c r="U486" s="57">
        <f ca="1">-MAX(0,MIN(SUM(U686:U688),SUM(U$476:U485),$L690*$K486))</f>
        <v>0</v>
      </c>
      <c r="V486" s="57">
        <f ca="1">-MAX(0,MIN(SUM(V686:V688),SUM(V$476:V485),$L690*$K486))</f>
        <v>0</v>
      </c>
    </row>
    <row r="487" spans="2:22" ht="13.5" customHeight="1" outlineLevel="1">
      <c r="B487" s="38" t="str">
        <f t="shared" si="412"/>
        <v>Convertible bond</v>
      </c>
      <c r="K487" s="198">
        <f t="shared" si="411"/>
        <v>0</v>
      </c>
      <c r="M487" s="57">
        <f ca="1">-MAX(0,MIN(SUM(M715:M717),SUM(M$476:M486),$L719*$K487))</f>
        <v>0</v>
      </c>
      <c r="N487" s="57">
        <f ca="1">-MAX(0,MIN(SUM(N715:N717),SUM(N$476:N486),$L719*$K487))</f>
        <v>0</v>
      </c>
      <c r="O487" s="57">
        <f ca="1">-MAX(0,MIN(SUM(O715:O717),SUM(O$476:O486),$L719*$K487))</f>
        <v>0</v>
      </c>
      <c r="P487" s="57">
        <f ca="1">-MAX(0,MIN(SUM(P715:P717),SUM(P$476:P486),$L719*$K487))</f>
        <v>0</v>
      </c>
      <c r="Q487" s="57">
        <f ca="1">-MAX(0,MIN(SUM(Q715:Q717),SUM(Q$476:Q486),$L719*$K487))</f>
        <v>0</v>
      </c>
      <c r="R487" s="57">
        <f ca="1">-MAX(0,MIN(SUM(R715:R717),SUM(R$476:R486),$L719*$K487))</f>
        <v>0</v>
      </c>
      <c r="S487" s="57">
        <f ca="1">-MAX(0,MIN(SUM(S715:S717),SUM(S$476:S486),$L719*$K487))</f>
        <v>0</v>
      </c>
      <c r="T487" s="57">
        <f ca="1">-MAX(0,MIN(SUM(T715:T717),SUM(T$476:T486),$L719*$K487))</f>
        <v>0</v>
      </c>
      <c r="U487" s="57">
        <f ca="1">-MAX(0,MIN(SUM(U715:U717),SUM(U$476:U486),$L719*$K487))</f>
        <v>0</v>
      </c>
      <c r="V487" s="57">
        <f ca="1">-MAX(0,MIN(SUM(V715:V717),SUM(V$476:V486),$L719*$K487))</f>
        <v>0</v>
      </c>
    </row>
    <row r="488" spans="2:22" ht="13.5" customHeight="1" outlineLevel="1">
      <c r="B488" s="38" t="str">
        <f t="shared" si="412"/>
        <v>[Debt 8]</v>
      </c>
      <c r="K488" s="198">
        <f t="shared" si="411"/>
        <v>0</v>
      </c>
      <c r="M488" s="57">
        <f ca="1">-MAX(0,MIN(SUM(M744:M746),SUM(M$476:M487),$L748*$K488))</f>
        <v>0</v>
      </c>
      <c r="N488" s="57">
        <f ca="1">-MAX(0,MIN(SUM(N744:N746),SUM(N$476:N487),$L748*$K488))</f>
        <v>0</v>
      </c>
      <c r="O488" s="57">
        <f ca="1">-MAX(0,MIN(SUM(O744:O746),SUM(O$476:O487),$L748*$K488))</f>
        <v>0</v>
      </c>
      <c r="P488" s="57">
        <f ca="1">-MAX(0,MIN(SUM(P744:P746),SUM(P$476:P487),$L748*$K488))</f>
        <v>0</v>
      </c>
      <c r="Q488" s="57">
        <f ca="1">-MAX(0,MIN(SUM(Q744:Q746),SUM(Q$476:Q487),$L748*$K488))</f>
        <v>0</v>
      </c>
      <c r="R488" s="57">
        <f ca="1">-MAX(0,MIN(SUM(R744:R746),SUM(R$476:R487),$L748*$K488))</f>
        <v>0</v>
      </c>
      <c r="S488" s="57">
        <f ca="1">-MAX(0,MIN(SUM(S744:S746),SUM(S$476:S487),$L748*$K488))</f>
        <v>0</v>
      </c>
      <c r="T488" s="57">
        <f ca="1">-MAX(0,MIN(SUM(T744:T746),SUM(T$476:T487),$L748*$K488))</f>
        <v>0</v>
      </c>
      <c r="U488" s="57">
        <f ca="1">-MAX(0,MIN(SUM(U744:U746),SUM(U$476:U487),$L748*$K488))</f>
        <v>0</v>
      </c>
      <c r="V488" s="57">
        <f ca="1">-MAX(0,MIN(SUM(V744:V746),SUM(V$476:V487),$L748*$K488))</f>
        <v>0</v>
      </c>
    </row>
    <row r="489" spans="2:22" ht="13.5" customHeight="1" outlineLevel="1">
      <c r="B489" s="38" t="str">
        <f t="shared" si="412"/>
        <v>Preferred stock - A</v>
      </c>
      <c r="K489" s="198">
        <f t="shared" si="411"/>
        <v>0</v>
      </c>
      <c r="M489" s="57">
        <f ca="1">-MAX(0,MIN(SUM(M773:M775),SUM(M$476:M488),$L777*$K489))</f>
        <v>0</v>
      </c>
      <c r="N489" s="57">
        <f ca="1">-MAX(0,MIN(SUM(N773:N775),SUM(N$476:N488),$L777*$K489))</f>
        <v>0</v>
      </c>
      <c r="O489" s="57">
        <f ca="1">-MAX(0,MIN(SUM(O773:O775),SUM(O$476:O488),$L777*$K489))</f>
        <v>0</v>
      </c>
      <c r="P489" s="57">
        <f ca="1">-MAX(0,MIN(SUM(P773:P775),SUM(P$476:P488),$L777*$K489))</f>
        <v>0</v>
      </c>
      <c r="Q489" s="57">
        <f ca="1">-MAX(0,MIN(SUM(Q773:Q775),SUM(Q$476:Q488),$L777*$K489))</f>
        <v>0</v>
      </c>
      <c r="R489" s="57">
        <f ca="1">-MAX(0,MIN(SUM(R773:R775),SUM(R$476:R488),$L777*$K489))</f>
        <v>0</v>
      </c>
      <c r="S489" s="57">
        <f ca="1">-MAX(0,MIN(SUM(S773:S775),SUM(S$476:S488),$L777*$K489))</f>
        <v>0</v>
      </c>
      <c r="T489" s="57">
        <f ca="1">-MAX(0,MIN(SUM(T773:T775),SUM(T$476:T488),$L777*$K489))</f>
        <v>0</v>
      </c>
      <c r="U489" s="57">
        <f ca="1">-MAX(0,MIN(SUM(U773:U775),SUM(U$476:U488),$L777*$K489))</f>
        <v>0</v>
      </c>
      <c r="V489" s="57">
        <f ca="1">-MAX(0,MIN(SUM(V773:V775),SUM(V$476:V488),$L777*$K489))</f>
        <v>0</v>
      </c>
    </row>
    <row r="490" spans="2:22" ht="13.5" customHeight="1" outlineLevel="1">
      <c r="B490" s="38" t="str">
        <f>B1263</f>
        <v>Preferred stock - B</v>
      </c>
      <c r="K490" s="198">
        <f>S1311</f>
        <v>0</v>
      </c>
      <c r="M490" s="57">
        <f ca="1">-MAX(0,MIN(SUM(M802:M804),SUM(M$476:M489),$L806*$K490))</f>
        <v>0</v>
      </c>
      <c r="N490" s="57">
        <f ca="1">-MAX(0,MIN(SUM(N802:N804),SUM(N$476:N489),$L806*$K490))</f>
        <v>0</v>
      </c>
      <c r="O490" s="57">
        <f ca="1">-MAX(0,MIN(SUM(O802:O804),SUM(O$476:O489),$L806*$K490))</f>
        <v>0</v>
      </c>
      <c r="P490" s="57">
        <f ca="1">-MAX(0,MIN(SUM(P802:P804),SUM(P$476:P489),$L806*$K490))</f>
        <v>0</v>
      </c>
      <c r="Q490" s="57">
        <f ca="1">-MAX(0,MIN(SUM(Q802:Q804),SUM(Q$476:Q489),$L806*$K490))</f>
        <v>0</v>
      </c>
      <c r="R490" s="57">
        <f ca="1">-MAX(0,MIN(SUM(R802:R804),SUM(R$476:R489),$L806*$K490))</f>
        <v>0</v>
      </c>
      <c r="S490" s="57">
        <f ca="1">-MAX(0,MIN(SUM(S802:S804),SUM(S$476:S489),$L806*$K490))</f>
        <v>0</v>
      </c>
      <c r="T490" s="57">
        <f ca="1">-MAX(0,MIN(SUM(T802:T804),SUM(T$476:T489),$L806*$K490))</f>
        <v>0</v>
      </c>
      <c r="U490" s="57">
        <f ca="1">-MAX(0,MIN(SUM(U802:U804),SUM(U$476:U489),$L806*$K490))</f>
        <v>0</v>
      </c>
      <c r="V490" s="57">
        <f ca="1">-MAX(0,MIN(SUM(V802:V804),SUM(V$476:V489),$L806*$K490))</f>
        <v>0</v>
      </c>
    </row>
    <row r="491" spans="2:22" ht="13.5" customHeight="1" outlineLevel="1">
      <c r="B491" s="52" t="s">
        <v>228</v>
      </c>
      <c r="C491" s="52"/>
      <c r="D491" s="52"/>
      <c r="E491" s="52"/>
      <c r="F491" s="52"/>
      <c r="G491" s="272"/>
      <c r="H491" s="67"/>
      <c r="I491" s="67"/>
      <c r="J491" s="67"/>
      <c r="K491" s="67"/>
      <c r="L491" s="67"/>
      <c r="M491" s="67">
        <f ca="1">SUM(M479:OFFSET(M491,-1,0))</f>
        <v>-42.5</v>
      </c>
      <c r="N491" s="67">
        <f ca="1">SUM(N479:OFFSET(N491,-1,0))</f>
        <v>0</v>
      </c>
      <c r="O491" s="67">
        <f ca="1">SUM(O479:OFFSET(O491,-1,0))</f>
        <v>0</v>
      </c>
      <c r="P491" s="67">
        <f ca="1">SUM(P479:OFFSET(P491,-1,0))</f>
        <v>0</v>
      </c>
      <c r="Q491" s="67">
        <f ca="1">SUM(Q479:OFFSET(Q491,-1,0))</f>
        <v>0</v>
      </c>
      <c r="R491" s="67">
        <f ca="1">SUM(R479:OFFSET(R491,-1,0))</f>
        <v>0</v>
      </c>
      <c r="S491" s="67">
        <f ca="1">SUM(S479:OFFSET(S491,-1,0))</f>
        <v>0</v>
      </c>
      <c r="T491" s="67">
        <f ca="1">SUM(T479:OFFSET(T491,-1,0))</f>
        <v>0</v>
      </c>
      <c r="U491" s="67">
        <f ca="1">SUM(U479:OFFSET(U491,-1,0))</f>
        <v>0</v>
      </c>
      <c r="V491" s="67">
        <f ca="1">SUM(V479:OFFSET(V491,-1,0))</f>
        <v>0</v>
      </c>
    </row>
    <row r="492" spans="2:22" ht="13.5" customHeight="1" outlineLevel="1">
      <c r="M492" s="190"/>
      <c r="N492" s="190"/>
      <c r="O492" s="190"/>
      <c r="P492" s="190"/>
      <c r="Q492" s="190"/>
      <c r="R492" s="190"/>
      <c r="S492" s="190"/>
      <c r="T492" s="190"/>
      <c r="U492" s="190"/>
      <c r="V492" s="190"/>
    </row>
    <row r="493" spans="2:22" s="35" customFormat="1" ht="13.5" customHeight="1" outlineLevel="1">
      <c r="B493" s="46" t="s">
        <v>712</v>
      </c>
      <c r="C493" s="47"/>
      <c r="D493" s="47"/>
      <c r="E493" s="47"/>
      <c r="F493" s="47"/>
      <c r="G493" s="47"/>
      <c r="H493" s="47"/>
      <c r="I493" s="47"/>
      <c r="J493" s="47"/>
      <c r="K493" s="47"/>
      <c r="L493" s="47"/>
      <c r="M493" s="47"/>
      <c r="N493" s="47"/>
      <c r="O493" s="47"/>
      <c r="P493" s="47"/>
      <c r="Q493" s="47"/>
      <c r="R493" s="47"/>
      <c r="S493" s="47"/>
      <c r="T493" s="47"/>
      <c r="U493" s="47"/>
      <c r="V493" s="48"/>
    </row>
    <row r="494" spans="2:22" s="35" customFormat="1" ht="5.0999999999999996" customHeight="1" outlineLevel="1"/>
    <row r="495" spans="2:22" ht="13.5" customHeight="1" outlineLevel="1">
      <c r="B495" s="273" t="s">
        <v>26</v>
      </c>
      <c r="C495" s="274"/>
      <c r="D495" s="274"/>
      <c r="E495" s="274"/>
      <c r="F495" s="274"/>
      <c r="G495" s="274"/>
      <c r="H495" s="274"/>
      <c r="I495" s="274"/>
      <c r="J495" s="274"/>
      <c r="K495" s="274"/>
      <c r="L495" s="274"/>
      <c r="M495" s="275"/>
      <c r="N495" s="275"/>
      <c r="O495" s="275"/>
      <c r="P495" s="275"/>
      <c r="Q495" s="275"/>
      <c r="R495" s="275"/>
      <c r="S495" s="275"/>
      <c r="T495" s="275"/>
      <c r="U495" s="275"/>
      <c r="V495" s="275"/>
    </row>
    <row r="496" spans="2:22" ht="13.5" customHeight="1" outlineLevel="1">
      <c r="B496" s="223" t="s">
        <v>466</v>
      </c>
      <c r="C496" s="223"/>
      <c r="D496" s="223"/>
      <c r="E496" s="223"/>
      <c r="F496" s="223"/>
      <c r="G496" s="223"/>
      <c r="H496" s="223"/>
      <c r="I496" s="223"/>
      <c r="J496" s="223"/>
      <c r="K496" s="223"/>
      <c r="L496" s="223"/>
      <c r="M496" s="214">
        <f>L499</f>
        <v>0</v>
      </c>
      <c r="N496" s="214">
        <f t="shared" ref="N496:V496" ca="1" si="413">M499</f>
        <v>0</v>
      </c>
      <c r="O496" s="214">
        <f t="shared" ca="1" si="413"/>
        <v>0</v>
      </c>
      <c r="P496" s="214">
        <f t="shared" ca="1" si="413"/>
        <v>0</v>
      </c>
      <c r="Q496" s="214">
        <f t="shared" ca="1" si="413"/>
        <v>0</v>
      </c>
      <c r="R496" s="214">
        <f t="shared" ca="1" si="413"/>
        <v>0</v>
      </c>
      <c r="S496" s="214">
        <f t="shared" ca="1" si="413"/>
        <v>0</v>
      </c>
      <c r="T496" s="214">
        <f t="shared" ca="1" si="413"/>
        <v>0</v>
      </c>
      <c r="U496" s="214">
        <f t="shared" ca="1" si="413"/>
        <v>0</v>
      </c>
      <c r="V496" s="214">
        <f t="shared" ca="1" si="413"/>
        <v>0</v>
      </c>
    </row>
    <row r="497" spans="2:22" ht="13.5" customHeight="1" outlineLevel="1">
      <c r="B497" s="276" t="s">
        <v>709</v>
      </c>
      <c r="C497" s="277"/>
      <c r="D497" s="277"/>
      <c r="E497" s="278"/>
      <c r="F497" s="223"/>
      <c r="G497" s="223"/>
      <c r="H497" s="223"/>
      <c r="I497" s="223"/>
      <c r="J497" s="223"/>
      <c r="K497" s="223"/>
      <c r="L497" s="223"/>
      <c r="M497" s="218">
        <f ca="1">MIN(MAX(0,-M476),M501-M496)</f>
        <v>0</v>
      </c>
      <c r="N497" s="218">
        <f t="shared" ref="N497:V497" ca="1" si="414">MIN(MAX(0,-N476),N501-N496)</f>
        <v>0</v>
      </c>
      <c r="O497" s="218">
        <f t="shared" ca="1" si="414"/>
        <v>0</v>
      </c>
      <c r="P497" s="218">
        <f t="shared" ca="1" si="414"/>
        <v>0</v>
      </c>
      <c r="Q497" s="218">
        <f t="shared" ca="1" si="414"/>
        <v>0</v>
      </c>
      <c r="R497" s="218">
        <f t="shared" ca="1" si="414"/>
        <v>0</v>
      </c>
      <c r="S497" s="218">
        <f t="shared" ca="1" si="414"/>
        <v>0</v>
      </c>
      <c r="T497" s="218">
        <f t="shared" ca="1" si="414"/>
        <v>0</v>
      </c>
      <c r="U497" s="218">
        <f t="shared" ca="1" si="414"/>
        <v>0</v>
      </c>
      <c r="V497" s="218">
        <f t="shared" ca="1" si="414"/>
        <v>0</v>
      </c>
    </row>
    <row r="498" spans="2:22" ht="13.5" customHeight="1" outlineLevel="1">
      <c r="B498" s="276" t="s">
        <v>710</v>
      </c>
      <c r="C498" s="277"/>
      <c r="D498" s="277"/>
      <c r="E498" s="278"/>
      <c r="F498" s="223"/>
      <c r="G498" s="223"/>
      <c r="H498" s="223"/>
      <c r="I498" s="223"/>
      <c r="J498" s="223"/>
      <c r="K498" s="223"/>
      <c r="L498" s="223"/>
      <c r="M498" s="218">
        <f ca="1">M479</f>
        <v>0</v>
      </c>
      <c r="N498" s="218">
        <f t="shared" ref="N498:V498" ca="1" si="415">N479</f>
        <v>0</v>
      </c>
      <c r="O498" s="218">
        <f t="shared" ca="1" si="415"/>
        <v>0</v>
      </c>
      <c r="P498" s="218">
        <f t="shared" ca="1" si="415"/>
        <v>0</v>
      </c>
      <c r="Q498" s="218">
        <f t="shared" ca="1" si="415"/>
        <v>0</v>
      </c>
      <c r="R498" s="218">
        <f t="shared" ca="1" si="415"/>
        <v>0</v>
      </c>
      <c r="S498" s="218">
        <f t="shared" ca="1" si="415"/>
        <v>0</v>
      </c>
      <c r="T498" s="218">
        <f t="shared" ca="1" si="415"/>
        <v>0</v>
      </c>
      <c r="U498" s="218">
        <f t="shared" ca="1" si="415"/>
        <v>0</v>
      </c>
      <c r="V498" s="218">
        <f t="shared" ca="1" si="415"/>
        <v>0</v>
      </c>
    </row>
    <row r="499" spans="2:22" ht="13.5" customHeight="1" outlineLevel="1">
      <c r="B499" s="279" t="s">
        <v>467</v>
      </c>
      <c r="C499" s="279"/>
      <c r="D499" s="279"/>
      <c r="E499" s="279"/>
      <c r="F499" s="279"/>
      <c r="G499" s="279"/>
      <c r="H499" s="279"/>
      <c r="I499" s="279"/>
      <c r="J499" s="279"/>
      <c r="K499" s="279"/>
      <c r="L499" s="280">
        <f>M1253</f>
        <v>0</v>
      </c>
      <c r="M499" s="281">
        <f ca="1">SUM(M496:M498)</f>
        <v>0</v>
      </c>
      <c r="N499" s="281">
        <f t="shared" ref="N499:V499" ca="1" si="416">SUM(N496:N498)</f>
        <v>0</v>
      </c>
      <c r="O499" s="281">
        <f t="shared" ca="1" si="416"/>
        <v>0</v>
      </c>
      <c r="P499" s="281">
        <f t="shared" ca="1" si="416"/>
        <v>0</v>
      </c>
      <c r="Q499" s="281">
        <f t="shared" ca="1" si="416"/>
        <v>0</v>
      </c>
      <c r="R499" s="281">
        <f t="shared" ca="1" si="416"/>
        <v>0</v>
      </c>
      <c r="S499" s="281">
        <f t="shared" ca="1" si="416"/>
        <v>0</v>
      </c>
      <c r="T499" s="281">
        <f t="shared" ca="1" si="416"/>
        <v>0</v>
      </c>
      <c r="U499" s="281">
        <f t="shared" ca="1" si="416"/>
        <v>0</v>
      </c>
      <c r="V499" s="281">
        <f t="shared" ca="1" si="416"/>
        <v>0</v>
      </c>
    </row>
    <row r="500" spans="2:22" ht="13.5" customHeight="1" outlineLevel="1">
      <c r="B500" s="223"/>
      <c r="C500" s="223"/>
      <c r="D500" s="223"/>
      <c r="E500" s="223"/>
      <c r="F500" s="223"/>
      <c r="G500" s="223"/>
      <c r="H500" s="223"/>
      <c r="I500" s="223"/>
      <c r="J500" s="223"/>
      <c r="K500" s="223"/>
      <c r="L500" s="223"/>
      <c r="M500" s="282"/>
      <c r="N500" s="282"/>
      <c r="O500" s="282"/>
      <c r="P500" s="282"/>
      <c r="Q500" s="282"/>
      <c r="R500" s="282"/>
      <c r="S500" s="282"/>
      <c r="T500" s="282"/>
      <c r="U500" s="282"/>
      <c r="V500" s="282"/>
    </row>
    <row r="501" spans="2:22" ht="13.5" customHeight="1" outlineLevel="1">
      <c r="B501" s="223" t="s">
        <v>711</v>
      </c>
      <c r="C501" s="223"/>
      <c r="D501" s="223"/>
      <c r="E501" s="223"/>
      <c r="F501" s="223"/>
      <c r="G501" s="223"/>
      <c r="H501" s="223"/>
      <c r="I501" s="223"/>
      <c r="J501" s="223"/>
      <c r="K501" s="223"/>
      <c r="L501" s="283">
        <f>revolver</f>
        <v>100</v>
      </c>
      <c r="M501" s="214">
        <f>L501</f>
        <v>100</v>
      </c>
      <c r="N501" s="214">
        <f t="shared" ref="N501:V501" si="417">M501</f>
        <v>100</v>
      </c>
      <c r="O501" s="214">
        <f t="shared" si="417"/>
        <v>100</v>
      </c>
      <c r="P501" s="214">
        <f t="shared" si="417"/>
        <v>100</v>
      </c>
      <c r="Q501" s="214">
        <f t="shared" si="417"/>
        <v>100</v>
      </c>
      <c r="R501" s="214">
        <f t="shared" si="417"/>
        <v>100</v>
      </c>
      <c r="S501" s="214">
        <f t="shared" si="417"/>
        <v>100</v>
      </c>
      <c r="T501" s="214">
        <f t="shared" si="417"/>
        <v>100</v>
      </c>
      <c r="U501" s="214">
        <f t="shared" si="417"/>
        <v>100</v>
      </c>
      <c r="V501" s="214">
        <f t="shared" si="417"/>
        <v>100</v>
      </c>
    </row>
    <row r="502" spans="2:22" ht="13.5" customHeight="1" outlineLevel="1">
      <c r="B502" s="276" t="s">
        <v>262</v>
      </c>
      <c r="C502" s="223"/>
      <c r="D502" s="223"/>
      <c r="E502" s="223"/>
      <c r="F502" s="223"/>
      <c r="G502" s="223"/>
      <c r="H502" s="223"/>
      <c r="I502" s="223"/>
      <c r="J502" s="223"/>
      <c r="K502" s="223"/>
      <c r="L502" s="218">
        <f>L501-L499</f>
        <v>100</v>
      </c>
      <c r="M502" s="218">
        <f t="shared" ref="M502:V502" ca="1" si="418">M501-M499</f>
        <v>100</v>
      </c>
      <c r="N502" s="218">
        <f t="shared" ca="1" si="418"/>
        <v>100</v>
      </c>
      <c r="O502" s="218">
        <f t="shared" ca="1" si="418"/>
        <v>100</v>
      </c>
      <c r="P502" s="218">
        <f t="shared" ca="1" si="418"/>
        <v>100</v>
      </c>
      <c r="Q502" s="218">
        <f t="shared" ca="1" si="418"/>
        <v>100</v>
      </c>
      <c r="R502" s="218">
        <f t="shared" ca="1" si="418"/>
        <v>100</v>
      </c>
      <c r="S502" s="218">
        <f t="shared" ca="1" si="418"/>
        <v>100</v>
      </c>
      <c r="T502" s="218">
        <f t="shared" ca="1" si="418"/>
        <v>100</v>
      </c>
      <c r="U502" s="218">
        <f t="shared" ca="1" si="418"/>
        <v>100</v>
      </c>
      <c r="V502" s="218">
        <f t="shared" ca="1" si="418"/>
        <v>100</v>
      </c>
    </row>
    <row r="503" spans="2:22" ht="13.5" customHeight="1" outlineLevel="1">
      <c r="B503" s="276"/>
      <c r="C503" s="223"/>
      <c r="D503" s="223"/>
      <c r="E503" s="223"/>
      <c r="F503" s="223"/>
      <c r="G503" s="223"/>
      <c r="H503" s="223"/>
      <c r="I503" s="223"/>
      <c r="J503" s="223"/>
      <c r="K503" s="223"/>
      <c r="L503" s="218"/>
      <c r="M503" s="218"/>
      <c r="N503" s="218"/>
      <c r="O503" s="218"/>
      <c r="P503" s="218"/>
      <c r="Q503" s="218"/>
      <c r="R503" s="218"/>
      <c r="S503" s="218"/>
      <c r="T503" s="218"/>
      <c r="U503" s="218"/>
      <c r="V503" s="218"/>
    </row>
    <row r="504" spans="2:22" ht="13.5" customHeight="1" outlineLevel="1">
      <c r="B504" s="284" t="s">
        <v>147</v>
      </c>
      <c r="C504" s="223"/>
      <c r="D504" s="223"/>
      <c r="E504" s="223"/>
      <c r="F504" s="223"/>
      <c r="G504" s="223"/>
      <c r="H504" s="223"/>
      <c r="I504" s="223"/>
      <c r="J504" s="223"/>
      <c r="K504" s="223"/>
      <c r="L504" s="218"/>
      <c r="M504" s="218"/>
      <c r="N504" s="218"/>
      <c r="O504" s="218"/>
      <c r="P504" s="218"/>
      <c r="Q504" s="218"/>
      <c r="R504" s="218"/>
      <c r="S504" s="218"/>
      <c r="T504" s="218"/>
      <c r="U504" s="218"/>
      <c r="V504" s="218"/>
    </row>
    <row r="505" spans="2:22" ht="13.5" customHeight="1" outlineLevel="1">
      <c r="B505" s="276" t="s">
        <v>716</v>
      </c>
      <c r="C505" s="223"/>
      <c r="D505" s="223"/>
      <c r="E505" s="223"/>
      <c r="F505" s="223"/>
      <c r="G505" s="223"/>
      <c r="H505" s="223"/>
      <c r="I505" s="223"/>
      <c r="J505" s="223"/>
      <c r="K505" s="223"/>
      <c r="L505" s="218"/>
      <c r="M505" s="285">
        <f t="shared" ref="M505:V505" si="419">M849*IF(avg_int,AVERAGE(M496,M499),M496)*M$148</f>
        <v>0</v>
      </c>
      <c r="N505" s="285">
        <f t="shared" ca="1" si="419"/>
        <v>0</v>
      </c>
      <c r="O505" s="285">
        <f t="shared" ca="1" si="419"/>
        <v>0</v>
      </c>
      <c r="P505" s="285">
        <f t="shared" ca="1" si="419"/>
        <v>0</v>
      </c>
      <c r="Q505" s="285">
        <f t="shared" ca="1" si="419"/>
        <v>0</v>
      </c>
      <c r="R505" s="285">
        <f t="shared" ca="1" si="419"/>
        <v>0</v>
      </c>
      <c r="S505" s="285">
        <f t="shared" ca="1" si="419"/>
        <v>0</v>
      </c>
      <c r="T505" s="285">
        <f t="shared" ca="1" si="419"/>
        <v>0</v>
      </c>
      <c r="U505" s="285">
        <f t="shared" ca="1" si="419"/>
        <v>0</v>
      </c>
      <c r="V505" s="285">
        <f t="shared" ca="1" si="419"/>
        <v>0</v>
      </c>
    </row>
    <row r="506" spans="2:22" ht="13.5" customHeight="1" outlineLevel="1">
      <c r="B506" s="276" t="s">
        <v>263</v>
      </c>
      <c r="C506" s="223"/>
      <c r="D506" s="223"/>
      <c r="E506" s="223"/>
      <c r="F506" s="223"/>
      <c r="G506" s="223"/>
      <c r="H506" s="223"/>
      <c r="I506" s="223"/>
      <c r="J506" s="223"/>
      <c r="K506" s="223"/>
      <c r="L506" s="218"/>
      <c r="M506" s="218">
        <f t="shared" ref="M506:V506" si="420">M846*IF(avg_int,IFERROR(AVERAGE(L502,M502),0),L502)*M$148</f>
        <v>0.375</v>
      </c>
      <c r="N506" s="218">
        <f t="shared" ca="1" si="420"/>
        <v>0.5</v>
      </c>
      <c r="O506" s="218">
        <f t="shared" ca="1" si="420"/>
        <v>0.5</v>
      </c>
      <c r="P506" s="218">
        <f t="shared" ca="1" si="420"/>
        <v>0.5</v>
      </c>
      <c r="Q506" s="218">
        <f t="shared" ca="1" si="420"/>
        <v>0.5</v>
      </c>
      <c r="R506" s="218">
        <f t="shared" ca="1" si="420"/>
        <v>0.5</v>
      </c>
      <c r="S506" s="218">
        <f t="shared" ca="1" si="420"/>
        <v>0.5</v>
      </c>
      <c r="T506" s="218">
        <f t="shared" ca="1" si="420"/>
        <v>0.5</v>
      </c>
      <c r="U506" s="218">
        <f t="shared" ca="1" si="420"/>
        <v>0.5</v>
      </c>
      <c r="V506" s="218">
        <f t="shared" ca="1" si="420"/>
        <v>0.5</v>
      </c>
    </row>
    <row r="507" spans="2:22" ht="13.5" customHeight="1" outlineLevel="1">
      <c r="B507" s="279" t="s">
        <v>539</v>
      </c>
      <c r="C507" s="279"/>
      <c r="D507" s="279"/>
      <c r="E507" s="279"/>
      <c r="F507" s="279"/>
      <c r="G507" s="279"/>
      <c r="H507" s="279"/>
      <c r="I507" s="279"/>
      <c r="J507" s="279"/>
      <c r="K507" s="279"/>
      <c r="L507" s="279"/>
      <c r="M507" s="286">
        <f>SUM(M505:M506)</f>
        <v>0.375</v>
      </c>
      <c r="N507" s="286">
        <f t="shared" ref="N507:V507" ca="1" si="421">SUM(N505:N506)</f>
        <v>0.5</v>
      </c>
      <c r="O507" s="286">
        <f t="shared" ca="1" si="421"/>
        <v>0.5</v>
      </c>
      <c r="P507" s="286">
        <f t="shared" ca="1" si="421"/>
        <v>0.5</v>
      </c>
      <c r="Q507" s="286">
        <f t="shared" ca="1" si="421"/>
        <v>0.5</v>
      </c>
      <c r="R507" s="286">
        <f t="shared" ca="1" si="421"/>
        <v>0.5</v>
      </c>
      <c r="S507" s="286">
        <f t="shared" ca="1" si="421"/>
        <v>0.5</v>
      </c>
      <c r="T507" s="286">
        <f t="shared" ca="1" si="421"/>
        <v>0.5</v>
      </c>
      <c r="U507" s="286">
        <f t="shared" ca="1" si="421"/>
        <v>0.5</v>
      </c>
      <c r="V507" s="286">
        <f t="shared" ca="1" si="421"/>
        <v>0.5</v>
      </c>
    </row>
    <row r="508" spans="2:22" ht="5.0999999999999996" customHeight="1" outlineLevel="1" thickBot="1">
      <c r="B508" s="152"/>
      <c r="C508" s="152"/>
      <c r="D508" s="152"/>
      <c r="E508" s="152"/>
      <c r="F508" s="152"/>
      <c r="G508" s="152"/>
      <c r="H508" s="152"/>
      <c r="I508" s="152"/>
      <c r="J508" s="152"/>
      <c r="K508" s="152"/>
      <c r="L508" s="152"/>
      <c r="M508" s="287"/>
      <c r="N508" s="287"/>
      <c r="O508" s="287"/>
      <c r="P508" s="287"/>
      <c r="Q508" s="287"/>
      <c r="R508" s="287"/>
      <c r="S508" s="287"/>
      <c r="T508" s="287"/>
      <c r="U508" s="287"/>
      <c r="V508" s="287"/>
    </row>
    <row r="509" spans="2:22" ht="13.5" customHeight="1" outlineLevel="1">
      <c r="M509" s="190"/>
      <c r="N509" s="190"/>
      <c r="O509" s="190"/>
      <c r="P509" s="190"/>
      <c r="Q509" s="190"/>
      <c r="R509" s="190"/>
      <c r="S509" s="190"/>
      <c r="T509" s="190"/>
      <c r="U509" s="190"/>
      <c r="V509" s="190"/>
    </row>
    <row r="510" spans="2:22" ht="13.5" customHeight="1" outlineLevel="1">
      <c r="B510" s="273" t="str">
        <f>B1291</f>
        <v>Legacy debt</v>
      </c>
      <c r="C510" s="274"/>
      <c r="D510" s="274"/>
      <c r="E510" s="274"/>
      <c r="F510" s="274"/>
      <c r="G510" s="274"/>
      <c r="H510" s="274"/>
      <c r="I510" s="274"/>
      <c r="J510" s="274"/>
      <c r="K510" s="274"/>
      <c r="L510" s="274"/>
      <c r="M510" s="275"/>
      <c r="N510" s="275"/>
      <c r="O510" s="275"/>
      <c r="P510" s="275"/>
      <c r="Q510" s="275"/>
      <c r="R510" s="275"/>
      <c r="S510" s="275"/>
      <c r="T510" s="275"/>
      <c r="U510" s="275"/>
      <c r="V510" s="275"/>
    </row>
    <row r="511" spans="2:22" ht="13.5" customHeight="1" outlineLevel="1">
      <c r="B511" s="284" t="s">
        <v>123</v>
      </c>
      <c r="C511" s="223"/>
      <c r="D511" s="223"/>
      <c r="E511" s="223"/>
      <c r="F511" s="223"/>
      <c r="G511" s="223"/>
      <c r="H511" s="223"/>
      <c r="I511" s="223"/>
      <c r="J511" s="223"/>
      <c r="K511" s="223"/>
      <c r="L511" s="223"/>
      <c r="M511" s="282"/>
      <c r="N511" s="282"/>
      <c r="O511" s="282"/>
      <c r="P511" s="282"/>
      <c r="Q511" s="282"/>
      <c r="R511" s="282"/>
      <c r="S511" s="282"/>
      <c r="T511" s="282"/>
      <c r="U511" s="282"/>
      <c r="V511" s="282"/>
    </row>
    <row r="512" spans="2:22" ht="13.5" customHeight="1" outlineLevel="1">
      <c r="B512" s="223" t="s">
        <v>466</v>
      </c>
      <c r="C512" s="223"/>
      <c r="D512" s="223"/>
      <c r="E512" s="223"/>
      <c r="F512" s="214">
        <f>E516</f>
        <v>230</v>
      </c>
      <c r="G512" s="214">
        <f t="shared" ref="G512:I512" si="422">F516</f>
        <v>230</v>
      </c>
      <c r="H512" s="214">
        <f t="shared" si="422"/>
        <v>230</v>
      </c>
      <c r="I512" s="214">
        <f t="shared" si="422"/>
        <v>230</v>
      </c>
      <c r="J512" s="223"/>
      <c r="K512" s="223"/>
      <c r="L512" s="223"/>
      <c r="M512" s="214">
        <f ca="1">L516</f>
        <v>0</v>
      </c>
      <c r="N512" s="214">
        <f ca="1">M516</f>
        <v>0</v>
      </c>
      <c r="O512" s="214">
        <f t="shared" ref="O512:V512" ca="1" si="423">N516</f>
        <v>0</v>
      </c>
      <c r="P512" s="214">
        <f t="shared" ca="1" si="423"/>
        <v>0</v>
      </c>
      <c r="Q512" s="214">
        <f t="shared" ca="1" si="423"/>
        <v>0</v>
      </c>
      <c r="R512" s="214">
        <f t="shared" ca="1" si="423"/>
        <v>0</v>
      </c>
      <c r="S512" s="214">
        <f t="shared" ca="1" si="423"/>
        <v>0</v>
      </c>
      <c r="T512" s="214">
        <f t="shared" ca="1" si="423"/>
        <v>0</v>
      </c>
      <c r="U512" s="214">
        <f t="shared" ca="1" si="423"/>
        <v>0</v>
      </c>
      <c r="V512" s="214">
        <f t="shared" ca="1" si="423"/>
        <v>0</v>
      </c>
    </row>
    <row r="513" spans="2:22" ht="13.5" customHeight="1" outlineLevel="1">
      <c r="B513" s="223" t="s">
        <v>697</v>
      </c>
      <c r="C513" s="223"/>
      <c r="D513" s="223"/>
      <c r="E513" s="223"/>
      <c r="F513" s="530">
        <v>0</v>
      </c>
      <c r="G513" s="530">
        <v>0</v>
      </c>
      <c r="H513" s="530">
        <v>0</v>
      </c>
      <c r="I513" s="530">
        <v>0</v>
      </c>
      <c r="J513" s="223"/>
      <c r="K513" s="223"/>
      <c r="L513" s="223"/>
      <c r="M513" s="530">
        <v>0</v>
      </c>
      <c r="N513" s="530">
        <v>0</v>
      </c>
      <c r="O513" s="530">
        <v>0</v>
      </c>
      <c r="P513" s="530">
        <v>0</v>
      </c>
      <c r="Q513" s="530">
        <v>0</v>
      </c>
      <c r="R513" s="530">
        <v>0</v>
      </c>
      <c r="S513" s="530">
        <v>0</v>
      </c>
      <c r="T513" s="530">
        <v>0</v>
      </c>
      <c r="U513" s="530">
        <v>0</v>
      </c>
      <c r="V513" s="530">
        <v>0</v>
      </c>
    </row>
    <row r="514" spans="2:22" ht="13.5" customHeight="1" outlineLevel="1">
      <c r="B514" s="223" t="s">
        <v>698</v>
      </c>
      <c r="C514" s="223"/>
      <c r="D514" s="223"/>
      <c r="E514" s="223"/>
      <c r="F514" s="530">
        <v>0</v>
      </c>
      <c r="G514" s="530">
        <v>0</v>
      </c>
      <c r="H514" s="530">
        <v>0</v>
      </c>
      <c r="I514" s="530">
        <v>0</v>
      </c>
      <c r="J514" s="223"/>
      <c r="K514" s="223"/>
      <c r="L514" s="223"/>
      <c r="M514" s="218">
        <f t="shared" ref="M514:V514" ca="1" si="424">-MIN(M512,M433*$L516)</f>
        <v>0</v>
      </c>
      <c r="N514" s="218">
        <f t="shared" ca="1" si="424"/>
        <v>0</v>
      </c>
      <c r="O514" s="218">
        <f t="shared" ca="1" si="424"/>
        <v>0</v>
      </c>
      <c r="P514" s="218">
        <f t="shared" ca="1" si="424"/>
        <v>0</v>
      </c>
      <c r="Q514" s="218">
        <f t="shared" ca="1" si="424"/>
        <v>0</v>
      </c>
      <c r="R514" s="218">
        <f t="shared" ca="1" si="424"/>
        <v>0</v>
      </c>
      <c r="S514" s="218">
        <f t="shared" ca="1" si="424"/>
        <v>0</v>
      </c>
      <c r="T514" s="218">
        <f t="shared" ca="1" si="424"/>
        <v>0</v>
      </c>
      <c r="U514" s="218">
        <f t="shared" ca="1" si="424"/>
        <v>0</v>
      </c>
      <c r="V514" s="218">
        <f t="shared" ca="1" si="424"/>
        <v>0</v>
      </c>
    </row>
    <row r="515" spans="2:22" ht="13.5" customHeight="1" outlineLevel="1">
      <c r="B515" s="223" t="s">
        <v>699</v>
      </c>
      <c r="C515" s="223"/>
      <c r="D515" s="223"/>
      <c r="E515" s="223"/>
      <c r="F515" s="530">
        <v>0</v>
      </c>
      <c r="G515" s="530">
        <v>0</v>
      </c>
      <c r="H515" s="530">
        <v>0</v>
      </c>
      <c r="I515" s="530">
        <v>0</v>
      </c>
      <c r="J515" s="223"/>
      <c r="K515" s="223"/>
      <c r="L515" s="223"/>
      <c r="M515" s="218">
        <f ca="1">M480</f>
        <v>0</v>
      </c>
      <c r="N515" s="218">
        <f t="shared" ref="N515:V515" ca="1" si="425">N480</f>
        <v>0</v>
      </c>
      <c r="O515" s="218">
        <f t="shared" ca="1" si="425"/>
        <v>0</v>
      </c>
      <c r="P515" s="218">
        <f t="shared" ca="1" si="425"/>
        <v>0</v>
      </c>
      <c r="Q515" s="218">
        <f t="shared" ca="1" si="425"/>
        <v>0</v>
      </c>
      <c r="R515" s="218">
        <f t="shared" ca="1" si="425"/>
        <v>0</v>
      </c>
      <c r="S515" s="218">
        <f t="shared" ca="1" si="425"/>
        <v>0</v>
      </c>
      <c r="T515" s="218">
        <f t="shared" ca="1" si="425"/>
        <v>0</v>
      </c>
      <c r="U515" s="218">
        <f t="shared" ca="1" si="425"/>
        <v>0</v>
      </c>
      <c r="V515" s="218">
        <f t="shared" ca="1" si="425"/>
        <v>0</v>
      </c>
    </row>
    <row r="516" spans="2:22" ht="13.5" customHeight="1" outlineLevel="1">
      <c r="B516" s="279" t="s">
        <v>467</v>
      </c>
      <c r="C516" s="279"/>
      <c r="D516" s="279"/>
      <c r="E516" s="280">
        <f>E525</f>
        <v>230</v>
      </c>
      <c r="F516" s="286">
        <f>SUM(F512:F515)</f>
        <v>230</v>
      </c>
      <c r="G516" s="286">
        <f t="shared" ref="G516:I516" si="426">SUM(G512:G515)</f>
        <v>230</v>
      </c>
      <c r="H516" s="286">
        <f t="shared" si="426"/>
        <v>230</v>
      </c>
      <c r="I516" s="286">
        <f t="shared" si="426"/>
        <v>230</v>
      </c>
      <c r="J516" s="279"/>
      <c r="K516" s="279"/>
      <c r="L516" s="280">
        <f ca="1">L525</f>
        <v>0</v>
      </c>
      <c r="M516" s="286">
        <f ca="1">SUM(M512:M515)</f>
        <v>0</v>
      </c>
      <c r="N516" s="286">
        <f t="shared" ref="N516" ca="1" si="427">SUM(N512:N515)</f>
        <v>0</v>
      </c>
      <c r="O516" s="286">
        <f t="shared" ref="O516" ca="1" si="428">SUM(O512:O515)</f>
        <v>0</v>
      </c>
      <c r="P516" s="286">
        <f t="shared" ref="P516" ca="1" si="429">SUM(P512:P515)</f>
        <v>0</v>
      </c>
      <c r="Q516" s="286">
        <f t="shared" ref="Q516" ca="1" si="430">SUM(Q512:Q515)</f>
        <v>0</v>
      </c>
      <c r="R516" s="286">
        <f t="shared" ref="R516" ca="1" si="431">SUM(R512:R515)</f>
        <v>0</v>
      </c>
      <c r="S516" s="286">
        <f t="shared" ref="S516" ca="1" si="432">SUM(S512:S515)</f>
        <v>0</v>
      </c>
      <c r="T516" s="286">
        <f t="shared" ref="T516" ca="1" si="433">SUM(T512:T515)</f>
        <v>0</v>
      </c>
      <c r="U516" s="286">
        <f t="shared" ref="U516" ca="1" si="434">SUM(U512:U515)</f>
        <v>0</v>
      </c>
      <c r="V516" s="286">
        <f t="shared" ref="V516" ca="1" si="435">SUM(V512:V515)</f>
        <v>0</v>
      </c>
    </row>
    <row r="517" spans="2:22" ht="13.5" customHeight="1" outlineLevel="1">
      <c r="B517" s="223"/>
      <c r="C517" s="223"/>
      <c r="D517" s="223"/>
      <c r="E517" s="223"/>
      <c r="F517" s="223"/>
      <c r="G517" s="223"/>
      <c r="H517" s="223"/>
      <c r="I517" s="223"/>
      <c r="J517" s="223"/>
      <c r="K517" s="223"/>
      <c r="L517" s="223"/>
      <c r="M517" s="282"/>
      <c r="N517" s="282"/>
      <c r="O517" s="282"/>
      <c r="P517" s="282"/>
      <c r="Q517" s="282"/>
      <c r="R517" s="282"/>
      <c r="S517" s="282"/>
      <c r="T517" s="282"/>
      <c r="U517" s="282"/>
      <c r="V517" s="282"/>
    </row>
    <row r="518" spans="2:22" ht="13.5" customHeight="1" outlineLevel="1">
      <c r="B518" s="284" t="s">
        <v>700</v>
      </c>
      <c r="C518" s="223"/>
      <c r="D518" s="223"/>
      <c r="E518" s="223"/>
      <c r="F518" s="223"/>
      <c r="G518" s="223"/>
      <c r="H518" s="223"/>
      <c r="I518" s="223"/>
      <c r="J518" s="223"/>
      <c r="K518" s="223"/>
      <c r="L518" s="223"/>
      <c r="M518" s="282"/>
      <c r="N518" s="282"/>
      <c r="O518" s="282"/>
      <c r="P518" s="282"/>
      <c r="Q518" s="282"/>
      <c r="R518" s="282"/>
      <c r="S518" s="282"/>
      <c r="T518" s="282"/>
      <c r="U518" s="282"/>
      <c r="V518" s="282"/>
    </row>
    <row r="519" spans="2:22" ht="13.5" customHeight="1" outlineLevel="1">
      <c r="B519" s="223" t="s">
        <v>466</v>
      </c>
      <c r="C519" s="223"/>
      <c r="D519" s="223"/>
      <c r="E519" s="223"/>
      <c r="F519" s="214">
        <f>E525</f>
        <v>230</v>
      </c>
      <c r="G519" s="214">
        <f t="shared" ref="G519:I519" si="436">F525</f>
        <v>230</v>
      </c>
      <c r="H519" s="214">
        <f t="shared" si="436"/>
        <v>230</v>
      </c>
      <c r="I519" s="214">
        <f t="shared" si="436"/>
        <v>230</v>
      </c>
      <c r="J519" s="223"/>
      <c r="K519" s="223"/>
      <c r="L519" s="223"/>
      <c r="M519" s="214">
        <f ca="1">L525</f>
        <v>0</v>
      </c>
      <c r="N519" s="214">
        <f ca="1">M525</f>
        <v>0</v>
      </c>
      <c r="O519" s="214">
        <f t="shared" ref="O519:V519" ca="1" si="437">N525</f>
        <v>0</v>
      </c>
      <c r="P519" s="214">
        <f t="shared" ca="1" si="437"/>
        <v>0</v>
      </c>
      <c r="Q519" s="214">
        <f t="shared" ca="1" si="437"/>
        <v>0</v>
      </c>
      <c r="R519" s="214">
        <f t="shared" ca="1" si="437"/>
        <v>0</v>
      </c>
      <c r="S519" s="214">
        <f t="shared" ca="1" si="437"/>
        <v>0</v>
      </c>
      <c r="T519" s="214">
        <f t="shared" ca="1" si="437"/>
        <v>0</v>
      </c>
      <c r="U519" s="214">
        <f t="shared" ca="1" si="437"/>
        <v>0</v>
      </c>
      <c r="V519" s="214">
        <f t="shared" ca="1" si="437"/>
        <v>0</v>
      </c>
    </row>
    <row r="520" spans="2:22" ht="13.5" customHeight="1" outlineLevel="1">
      <c r="B520" s="223" t="s">
        <v>701</v>
      </c>
      <c r="C520" s="223"/>
      <c r="D520" s="223"/>
      <c r="E520" s="223"/>
      <c r="F520" s="218">
        <f>-F529</f>
        <v>0</v>
      </c>
      <c r="G520" s="218">
        <f t="shared" ref="G520:I520" si="438">-G529</f>
        <v>0</v>
      </c>
      <c r="H520" s="218">
        <f t="shared" si="438"/>
        <v>0</v>
      </c>
      <c r="I520" s="218">
        <f t="shared" si="438"/>
        <v>0</v>
      </c>
      <c r="J520" s="223"/>
      <c r="K520" s="223"/>
      <c r="L520" s="223"/>
      <c r="M520" s="218">
        <f>-M529</f>
        <v>0</v>
      </c>
      <c r="N520" s="218">
        <f t="shared" ref="N520:V520" si="439">-N529</f>
        <v>0</v>
      </c>
      <c r="O520" s="218">
        <f t="shared" si="439"/>
        <v>0</v>
      </c>
      <c r="P520" s="218">
        <f t="shared" si="439"/>
        <v>0</v>
      </c>
      <c r="Q520" s="218">
        <f t="shared" si="439"/>
        <v>0</v>
      </c>
      <c r="R520" s="218">
        <f t="shared" si="439"/>
        <v>0</v>
      </c>
      <c r="S520" s="218">
        <f t="shared" si="439"/>
        <v>0</v>
      </c>
      <c r="T520" s="218">
        <f t="shared" si="439"/>
        <v>0</v>
      </c>
      <c r="U520" s="218">
        <f t="shared" si="439"/>
        <v>0</v>
      </c>
      <c r="V520" s="218">
        <f t="shared" si="439"/>
        <v>0</v>
      </c>
    </row>
    <row r="521" spans="2:22" ht="13.5" customHeight="1" outlineLevel="1">
      <c r="B521" s="223" t="s">
        <v>697</v>
      </c>
      <c r="C521" s="223"/>
      <c r="D521" s="223"/>
      <c r="E521" s="223"/>
      <c r="F521" s="218">
        <f>F513</f>
        <v>0</v>
      </c>
      <c r="G521" s="218">
        <f t="shared" ref="G521:I521" si="440">G513</f>
        <v>0</v>
      </c>
      <c r="H521" s="218">
        <f t="shared" si="440"/>
        <v>0</v>
      </c>
      <c r="I521" s="218">
        <f t="shared" si="440"/>
        <v>0</v>
      </c>
      <c r="J521" s="223"/>
      <c r="K521" s="223"/>
      <c r="L521" s="223"/>
      <c r="M521" s="218">
        <f>M513</f>
        <v>0</v>
      </c>
      <c r="N521" s="218">
        <f t="shared" ref="N521:V521" si="441">N513</f>
        <v>0</v>
      </c>
      <c r="O521" s="218">
        <f t="shared" si="441"/>
        <v>0</v>
      </c>
      <c r="P521" s="218">
        <f t="shared" si="441"/>
        <v>0</v>
      </c>
      <c r="Q521" s="218">
        <f t="shared" si="441"/>
        <v>0</v>
      </c>
      <c r="R521" s="218">
        <f t="shared" si="441"/>
        <v>0</v>
      </c>
      <c r="S521" s="218">
        <f t="shared" si="441"/>
        <v>0</v>
      </c>
      <c r="T521" s="218">
        <f t="shared" si="441"/>
        <v>0</v>
      </c>
      <c r="U521" s="218">
        <f t="shared" si="441"/>
        <v>0</v>
      </c>
      <c r="V521" s="218">
        <f t="shared" si="441"/>
        <v>0</v>
      </c>
    </row>
    <row r="522" spans="2:22" ht="13.5" customHeight="1" outlineLevel="1">
      <c r="B522" s="223" t="s">
        <v>698</v>
      </c>
      <c r="C522" s="223"/>
      <c r="D522" s="223"/>
      <c r="E522" s="223"/>
      <c r="F522" s="218">
        <f>F514</f>
        <v>0</v>
      </c>
      <c r="G522" s="218">
        <f t="shared" ref="G522:I522" si="442">G514</f>
        <v>0</v>
      </c>
      <c r="H522" s="218">
        <f t="shared" si="442"/>
        <v>0</v>
      </c>
      <c r="I522" s="218">
        <f t="shared" si="442"/>
        <v>0</v>
      </c>
      <c r="J522" s="223"/>
      <c r="K522" s="223"/>
      <c r="L522" s="223"/>
      <c r="M522" s="218">
        <f ca="1">M514</f>
        <v>0</v>
      </c>
      <c r="N522" s="218">
        <f t="shared" ref="N522:V522" ca="1" si="443">N514</f>
        <v>0</v>
      </c>
      <c r="O522" s="218">
        <f t="shared" ca="1" si="443"/>
        <v>0</v>
      </c>
      <c r="P522" s="218">
        <f t="shared" ca="1" si="443"/>
        <v>0</v>
      </c>
      <c r="Q522" s="218">
        <f t="shared" ca="1" si="443"/>
        <v>0</v>
      </c>
      <c r="R522" s="218">
        <f t="shared" ca="1" si="443"/>
        <v>0</v>
      </c>
      <c r="S522" s="218">
        <f t="shared" ca="1" si="443"/>
        <v>0</v>
      </c>
      <c r="T522" s="218">
        <f t="shared" ca="1" si="443"/>
        <v>0</v>
      </c>
      <c r="U522" s="218">
        <f t="shared" ca="1" si="443"/>
        <v>0</v>
      </c>
      <c r="V522" s="218">
        <f t="shared" ca="1" si="443"/>
        <v>0</v>
      </c>
    </row>
    <row r="523" spans="2:22" ht="13.5" customHeight="1" outlineLevel="1">
      <c r="B523" s="223" t="s">
        <v>699</v>
      </c>
      <c r="C523" s="223"/>
      <c r="D523" s="223"/>
      <c r="E523" s="223"/>
      <c r="F523" s="218">
        <f>F515</f>
        <v>0</v>
      </c>
      <c r="G523" s="218">
        <f t="shared" ref="G523:I523" si="444">G515</f>
        <v>0</v>
      </c>
      <c r="H523" s="218">
        <f t="shared" si="444"/>
        <v>0</v>
      </c>
      <c r="I523" s="218">
        <f t="shared" si="444"/>
        <v>0</v>
      </c>
      <c r="J523" s="223"/>
      <c r="K523" s="223"/>
      <c r="L523" s="223"/>
      <c r="M523" s="218">
        <f ca="1">M515</f>
        <v>0</v>
      </c>
      <c r="N523" s="218">
        <f t="shared" ref="N523:V523" ca="1" si="445">N515</f>
        <v>0</v>
      </c>
      <c r="O523" s="218">
        <f t="shared" ca="1" si="445"/>
        <v>0</v>
      </c>
      <c r="P523" s="218">
        <f t="shared" ca="1" si="445"/>
        <v>0</v>
      </c>
      <c r="Q523" s="218">
        <f t="shared" ca="1" si="445"/>
        <v>0</v>
      </c>
      <c r="R523" s="218">
        <f t="shared" ca="1" si="445"/>
        <v>0</v>
      </c>
      <c r="S523" s="218">
        <f t="shared" ca="1" si="445"/>
        <v>0</v>
      </c>
      <c r="T523" s="218">
        <f t="shared" ca="1" si="445"/>
        <v>0</v>
      </c>
      <c r="U523" s="218">
        <f t="shared" ca="1" si="445"/>
        <v>0</v>
      </c>
      <c r="V523" s="218">
        <f t="shared" ca="1" si="445"/>
        <v>0</v>
      </c>
    </row>
    <row r="524" spans="2:22" ht="13.5" customHeight="1" outlineLevel="1">
      <c r="B524" s="223" t="s">
        <v>702</v>
      </c>
      <c r="C524" s="223"/>
      <c r="D524" s="223"/>
      <c r="E524" s="223"/>
      <c r="F524" s="218">
        <f>-F530</f>
        <v>0</v>
      </c>
      <c r="G524" s="218">
        <f t="shared" ref="G524:I524" si="446">-G530</f>
        <v>0</v>
      </c>
      <c r="H524" s="218">
        <f t="shared" si="446"/>
        <v>0</v>
      </c>
      <c r="I524" s="218">
        <f t="shared" si="446"/>
        <v>0</v>
      </c>
      <c r="J524" s="223"/>
      <c r="K524" s="223"/>
      <c r="L524" s="223"/>
      <c r="M524" s="218">
        <f ca="1">-M530</f>
        <v>0</v>
      </c>
      <c r="N524" s="218">
        <f t="shared" ref="N524:V524" ca="1" si="447">-N530</f>
        <v>0</v>
      </c>
      <c r="O524" s="218">
        <f t="shared" ca="1" si="447"/>
        <v>0</v>
      </c>
      <c r="P524" s="218">
        <f t="shared" ca="1" si="447"/>
        <v>0</v>
      </c>
      <c r="Q524" s="218">
        <f t="shared" ca="1" si="447"/>
        <v>0</v>
      </c>
      <c r="R524" s="218">
        <f t="shared" ca="1" si="447"/>
        <v>0</v>
      </c>
      <c r="S524" s="218">
        <f t="shared" ca="1" si="447"/>
        <v>0</v>
      </c>
      <c r="T524" s="218">
        <f t="shared" ca="1" si="447"/>
        <v>0</v>
      </c>
      <c r="U524" s="218">
        <f t="shared" ca="1" si="447"/>
        <v>0</v>
      </c>
      <c r="V524" s="218">
        <f t="shared" ca="1" si="447"/>
        <v>0</v>
      </c>
    </row>
    <row r="525" spans="2:22" ht="13.5" customHeight="1" outlineLevel="1">
      <c r="B525" s="279" t="s">
        <v>467</v>
      </c>
      <c r="C525" s="279"/>
      <c r="D525" s="279"/>
      <c r="E525" s="280">
        <f>E273</f>
        <v>230</v>
      </c>
      <c r="F525" s="286">
        <f>SUM(F519:F524)</f>
        <v>230</v>
      </c>
      <c r="G525" s="286">
        <f t="shared" ref="G525:I525" si="448">SUM(G519:G524)</f>
        <v>230</v>
      </c>
      <c r="H525" s="286">
        <f t="shared" si="448"/>
        <v>230</v>
      </c>
      <c r="I525" s="286">
        <f t="shared" si="448"/>
        <v>230</v>
      </c>
      <c r="J525" s="279"/>
      <c r="K525" s="279"/>
      <c r="L525" s="280">
        <f ca="1">L273</f>
        <v>0</v>
      </c>
      <c r="M525" s="286">
        <f ca="1">SUM(M519:M524)</f>
        <v>0</v>
      </c>
      <c r="N525" s="286">
        <f t="shared" ref="N525" ca="1" si="449">SUM(N519:N524)</f>
        <v>0</v>
      </c>
      <c r="O525" s="286">
        <f t="shared" ref="O525" ca="1" si="450">SUM(O519:O524)</f>
        <v>0</v>
      </c>
      <c r="P525" s="286">
        <f t="shared" ref="P525" ca="1" si="451">SUM(P519:P524)</f>
        <v>0</v>
      </c>
      <c r="Q525" s="286">
        <f t="shared" ref="Q525" ca="1" si="452">SUM(Q519:Q524)</f>
        <v>0</v>
      </c>
      <c r="R525" s="286">
        <f t="shared" ref="R525" ca="1" si="453">SUM(R519:R524)</f>
        <v>0</v>
      </c>
      <c r="S525" s="286">
        <f t="shared" ref="S525" ca="1" si="454">SUM(S519:S524)</f>
        <v>0</v>
      </c>
      <c r="T525" s="286">
        <f t="shared" ref="T525" ca="1" si="455">SUM(T519:T524)</f>
        <v>0</v>
      </c>
      <c r="U525" s="286">
        <f t="shared" ref="U525" ca="1" si="456">SUM(U519:U524)</f>
        <v>0</v>
      </c>
      <c r="V525" s="286">
        <f t="shared" ref="V525" ca="1" si="457">SUM(V519:V524)</f>
        <v>0</v>
      </c>
    </row>
    <row r="526" spans="2:22" ht="13.5" customHeight="1" outlineLevel="1">
      <c r="B526" s="223"/>
      <c r="C526" s="223"/>
      <c r="D526" s="223"/>
      <c r="E526" s="223"/>
      <c r="F526" s="223"/>
      <c r="G526" s="223"/>
      <c r="H526" s="223"/>
      <c r="I526" s="223"/>
      <c r="J526" s="223"/>
      <c r="K526" s="223"/>
      <c r="L526" s="223"/>
      <c r="M526" s="282"/>
      <c r="N526" s="282"/>
      <c r="O526" s="282"/>
      <c r="P526" s="282"/>
      <c r="Q526" s="282"/>
      <c r="R526" s="282"/>
      <c r="S526" s="282"/>
      <c r="T526" s="282"/>
      <c r="U526" s="282"/>
      <c r="V526" s="282"/>
    </row>
    <row r="527" spans="2:22" ht="13.5" customHeight="1" outlineLevel="1">
      <c r="B527" s="284" t="s">
        <v>703</v>
      </c>
      <c r="C527" s="223"/>
      <c r="D527" s="223"/>
      <c r="E527" s="223"/>
      <c r="F527" s="223"/>
      <c r="G527" s="223"/>
      <c r="H527" s="223"/>
      <c r="I527" s="223"/>
      <c r="J527" s="223"/>
      <c r="K527" s="223"/>
      <c r="L527" s="223"/>
      <c r="M527" s="282"/>
      <c r="N527" s="282"/>
      <c r="O527" s="282"/>
      <c r="P527" s="282"/>
      <c r="Q527" s="282"/>
      <c r="R527" s="282"/>
      <c r="S527" s="282"/>
      <c r="T527" s="282"/>
      <c r="U527" s="282"/>
      <c r="V527" s="282"/>
    </row>
    <row r="528" spans="2:22" ht="13.5" customHeight="1" outlineLevel="1">
      <c r="B528" s="223" t="s">
        <v>466</v>
      </c>
      <c r="C528" s="223"/>
      <c r="D528" s="223"/>
      <c r="E528" s="223"/>
      <c r="F528" s="214">
        <f>E531</f>
        <v>0</v>
      </c>
      <c r="G528" s="214">
        <f>F531</f>
        <v>0</v>
      </c>
      <c r="H528" s="214">
        <f t="shared" ref="H528:I528" si="458">G531</f>
        <v>0</v>
      </c>
      <c r="I528" s="214">
        <f t="shared" si="458"/>
        <v>0</v>
      </c>
      <c r="J528" s="223"/>
      <c r="K528" s="223"/>
      <c r="L528" s="223"/>
      <c r="M528" s="214">
        <f ca="1">L531</f>
        <v>0</v>
      </c>
      <c r="N528" s="214">
        <f ca="1">M531</f>
        <v>0</v>
      </c>
      <c r="O528" s="214">
        <f t="shared" ref="O528:V528" ca="1" si="459">N531</f>
        <v>0</v>
      </c>
      <c r="P528" s="214">
        <f t="shared" ca="1" si="459"/>
        <v>0</v>
      </c>
      <c r="Q528" s="214">
        <f t="shared" ca="1" si="459"/>
        <v>0</v>
      </c>
      <c r="R528" s="214">
        <f t="shared" ca="1" si="459"/>
        <v>0</v>
      </c>
      <c r="S528" s="214">
        <f t="shared" ca="1" si="459"/>
        <v>0</v>
      </c>
      <c r="T528" s="214">
        <f t="shared" ca="1" si="459"/>
        <v>0</v>
      </c>
      <c r="U528" s="214">
        <f t="shared" ca="1" si="459"/>
        <v>0</v>
      </c>
      <c r="V528" s="214">
        <f t="shared" ca="1" si="459"/>
        <v>0</v>
      </c>
    </row>
    <row r="529" spans="2:22" ht="13.5" customHeight="1" outlineLevel="1">
      <c r="B529" s="223" t="s">
        <v>704</v>
      </c>
      <c r="C529" s="223"/>
      <c r="D529" s="223"/>
      <c r="E529" s="223"/>
      <c r="F529" s="531">
        <v>0</v>
      </c>
      <c r="G529" s="531">
        <v>0</v>
      </c>
      <c r="H529" s="531">
        <v>0</v>
      </c>
      <c r="I529" s="531">
        <v>0</v>
      </c>
      <c r="J529" s="223"/>
      <c r="K529" s="223"/>
      <c r="L529" s="223"/>
      <c r="M529" s="531">
        <v>0</v>
      </c>
      <c r="N529" s="531">
        <v>0</v>
      </c>
      <c r="O529" s="531">
        <v>0</v>
      </c>
      <c r="P529" s="531">
        <v>0</v>
      </c>
      <c r="Q529" s="531">
        <v>0</v>
      </c>
      <c r="R529" s="531">
        <v>0</v>
      </c>
      <c r="S529" s="531">
        <v>0</v>
      </c>
      <c r="T529" s="531">
        <v>0</v>
      </c>
      <c r="U529" s="531">
        <v>0</v>
      </c>
      <c r="V529" s="531">
        <v>0</v>
      </c>
    </row>
    <row r="530" spans="2:22" ht="13.5" customHeight="1" outlineLevel="1">
      <c r="B530" s="223" t="s">
        <v>448</v>
      </c>
      <c r="C530" s="223"/>
      <c r="D530" s="223"/>
      <c r="E530" s="223"/>
      <c r="F530" s="218">
        <f>IFERROR(SUM(F528:F529)*SUM(F514:F515)/E516,0)</f>
        <v>0</v>
      </c>
      <c r="G530" s="218">
        <f t="shared" ref="G530:I530" si="460">IFERROR(SUM(G528:G529)*SUM(G514:G515)/F516,0)</f>
        <v>0</v>
      </c>
      <c r="H530" s="218">
        <f t="shared" si="460"/>
        <v>0</v>
      </c>
      <c r="I530" s="218">
        <f t="shared" si="460"/>
        <v>0</v>
      </c>
      <c r="J530" s="223"/>
      <c r="K530" s="223"/>
      <c r="L530" s="223"/>
      <c r="M530" s="218">
        <f ca="1">IFERROR(SUM(M528:M529)*SUM(M514:M515)/L516,0)</f>
        <v>0</v>
      </c>
      <c r="N530" s="218">
        <f t="shared" ref="N530" ca="1" si="461">IFERROR(SUM(N528:N529)*SUM(N514:N515)/M516,0)</f>
        <v>0</v>
      </c>
      <c r="O530" s="218">
        <f t="shared" ref="O530" ca="1" si="462">IFERROR(SUM(O528:O529)*SUM(O514:O515)/N516,0)</f>
        <v>0</v>
      </c>
      <c r="P530" s="218">
        <f t="shared" ref="P530" ca="1" si="463">IFERROR(SUM(P528:P529)*SUM(P514:P515)/O516,0)</f>
        <v>0</v>
      </c>
      <c r="Q530" s="218">
        <f t="shared" ref="Q530" ca="1" si="464">IFERROR(SUM(Q528:Q529)*SUM(Q514:Q515)/P516,0)</f>
        <v>0</v>
      </c>
      <c r="R530" s="218">
        <f t="shared" ref="R530" ca="1" si="465">IFERROR(SUM(R528:R529)*SUM(R514:R515)/Q516,0)</f>
        <v>0</v>
      </c>
      <c r="S530" s="218">
        <f t="shared" ref="S530" ca="1" si="466">IFERROR(SUM(S528:S529)*SUM(S514:S515)/R516,0)</f>
        <v>0</v>
      </c>
      <c r="T530" s="218">
        <f t="shared" ref="T530" ca="1" si="467">IFERROR(SUM(T528:T529)*SUM(T514:T515)/S516,0)</f>
        <v>0</v>
      </c>
      <c r="U530" s="218">
        <f t="shared" ref="U530" ca="1" si="468">IFERROR(SUM(U528:U529)*SUM(U514:U515)/T516,0)</f>
        <v>0</v>
      </c>
      <c r="V530" s="218">
        <f t="shared" ref="V530" ca="1" si="469">IFERROR(SUM(V528:V529)*SUM(V514:V515)/U516,0)</f>
        <v>0</v>
      </c>
    </row>
    <row r="531" spans="2:22" ht="13.5" customHeight="1" outlineLevel="1">
      <c r="B531" s="279" t="s">
        <v>467</v>
      </c>
      <c r="C531" s="279"/>
      <c r="D531" s="279"/>
      <c r="E531" s="280">
        <f>E516-E525</f>
        <v>0</v>
      </c>
      <c r="F531" s="286">
        <f>SUM(F528:F530)</f>
        <v>0</v>
      </c>
      <c r="G531" s="286">
        <f t="shared" ref="G531:I531" si="470">SUM(G528:G530)</f>
        <v>0</v>
      </c>
      <c r="H531" s="286">
        <f t="shared" si="470"/>
        <v>0</v>
      </c>
      <c r="I531" s="286">
        <f t="shared" si="470"/>
        <v>0</v>
      </c>
      <c r="J531" s="279"/>
      <c r="K531" s="279"/>
      <c r="L531" s="280">
        <f ca="1">L516-L525</f>
        <v>0</v>
      </c>
      <c r="M531" s="286">
        <f ca="1">SUM(M528:M530)</f>
        <v>0</v>
      </c>
      <c r="N531" s="286">
        <f ca="1">SUM(N528:N530)</f>
        <v>0</v>
      </c>
      <c r="O531" s="286">
        <f t="shared" ref="O531" ca="1" si="471">SUM(O528:O530)</f>
        <v>0</v>
      </c>
      <c r="P531" s="286">
        <f t="shared" ref="P531" ca="1" si="472">SUM(P528:P530)</f>
        <v>0</v>
      </c>
      <c r="Q531" s="286">
        <f t="shared" ref="Q531" ca="1" si="473">SUM(Q528:Q530)</f>
        <v>0</v>
      </c>
      <c r="R531" s="286">
        <f t="shared" ref="R531" ca="1" si="474">SUM(R528:R530)</f>
        <v>0</v>
      </c>
      <c r="S531" s="286">
        <f t="shared" ref="S531" ca="1" si="475">SUM(S528:S530)</f>
        <v>0</v>
      </c>
      <c r="T531" s="286">
        <f t="shared" ref="T531" ca="1" si="476">SUM(T528:T530)</f>
        <v>0</v>
      </c>
      <c r="U531" s="286">
        <f t="shared" ref="U531" ca="1" si="477">SUM(U528:U530)</f>
        <v>0</v>
      </c>
      <c r="V531" s="286">
        <f t="shared" ref="V531" ca="1" si="478">SUM(V528:V530)</f>
        <v>0</v>
      </c>
    </row>
    <row r="532" spans="2:22" ht="13.5" customHeight="1" outlineLevel="1">
      <c r="B532" s="223"/>
      <c r="C532" s="223"/>
      <c r="D532" s="223"/>
      <c r="E532" s="223"/>
      <c r="F532" s="223"/>
      <c r="G532" s="223"/>
      <c r="H532" s="223"/>
      <c r="I532" s="223"/>
      <c r="J532" s="223"/>
      <c r="K532" s="223"/>
      <c r="L532" s="283"/>
      <c r="M532" s="285"/>
      <c r="N532" s="285"/>
      <c r="O532" s="285"/>
      <c r="P532" s="285"/>
      <c r="Q532" s="285"/>
      <c r="R532" s="285"/>
      <c r="S532" s="285"/>
      <c r="T532" s="285"/>
      <c r="U532" s="285"/>
      <c r="V532" s="285"/>
    </row>
    <row r="533" spans="2:22" ht="13.5" customHeight="1" outlineLevel="1">
      <c r="B533" s="284" t="s">
        <v>147</v>
      </c>
      <c r="C533" s="223"/>
      <c r="D533" s="223"/>
      <c r="E533" s="223"/>
      <c r="F533" s="223"/>
      <c r="G533" s="223"/>
      <c r="H533" s="223"/>
      <c r="I533" s="223"/>
      <c r="J533" s="223"/>
      <c r="K533" s="223"/>
      <c r="L533" s="283"/>
      <c r="M533" s="285"/>
      <c r="N533" s="285"/>
      <c r="O533" s="285"/>
      <c r="P533" s="285"/>
      <c r="Q533" s="285"/>
      <c r="R533" s="285"/>
      <c r="S533" s="285"/>
      <c r="T533" s="285"/>
      <c r="U533" s="285"/>
      <c r="V533" s="285"/>
    </row>
    <row r="534" spans="2:22" ht="13.5" customHeight="1" outlineLevel="1">
      <c r="B534" s="223" t="s">
        <v>714</v>
      </c>
      <c r="C534" s="223"/>
      <c r="D534" s="223"/>
      <c r="E534" s="223"/>
      <c r="F534" s="285">
        <f>F848*IF(avg_int,AVERAGE(F512,F516),F512)*F$148</f>
        <v>8.1937499999999996</v>
      </c>
      <c r="G534" s="285">
        <f>G848*IF(avg_int,AVERAGE(G512,G516),G512)*G$148</f>
        <v>8.1937499999999996</v>
      </c>
      <c r="H534" s="285">
        <f>H848*IF(avg_int,AVERAGE(H512,H516),H512)*H$148</f>
        <v>8.1937499999999996</v>
      </c>
      <c r="I534" s="285">
        <f>I848*IF(avg_int,AVERAGE(I512,I516),I512)*I$148</f>
        <v>8.1937499999999996</v>
      </c>
      <c r="J534" s="223"/>
      <c r="K534" s="223"/>
      <c r="L534" s="283"/>
      <c r="M534" s="285">
        <f t="shared" ref="M534:V534" ca="1" si="479">M848*IF(avg_int,AVERAGE(M512,M516),M512)*M$148</f>
        <v>0</v>
      </c>
      <c r="N534" s="285">
        <f t="shared" ca="1" si="479"/>
        <v>0</v>
      </c>
      <c r="O534" s="285">
        <f t="shared" ca="1" si="479"/>
        <v>0</v>
      </c>
      <c r="P534" s="285">
        <f t="shared" ca="1" si="479"/>
        <v>0</v>
      </c>
      <c r="Q534" s="285">
        <f t="shared" ca="1" si="479"/>
        <v>0</v>
      </c>
      <c r="R534" s="285">
        <f t="shared" ca="1" si="479"/>
        <v>0</v>
      </c>
      <c r="S534" s="285">
        <f t="shared" ca="1" si="479"/>
        <v>0</v>
      </c>
      <c r="T534" s="285">
        <f t="shared" ca="1" si="479"/>
        <v>0</v>
      </c>
      <c r="U534" s="285">
        <f t="shared" ca="1" si="479"/>
        <v>0</v>
      </c>
      <c r="V534" s="285">
        <f t="shared" ca="1" si="479"/>
        <v>0</v>
      </c>
    </row>
    <row r="535" spans="2:22" ht="13.5" customHeight="1" outlineLevel="1">
      <c r="B535" s="223" t="s">
        <v>701</v>
      </c>
      <c r="C535" s="223"/>
      <c r="D535" s="223"/>
      <c r="E535" s="223"/>
      <c r="F535" s="218">
        <f>-F529</f>
        <v>0</v>
      </c>
      <c r="G535" s="218">
        <f t="shared" ref="G535:I535" si="480">-G529</f>
        <v>0</v>
      </c>
      <c r="H535" s="218">
        <f t="shared" si="480"/>
        <v>0</v>
      </c>
      <c r="I535" s="218">
        <f t="shared" si="480"/>
        <v>0</v>
      </c>
      <c r="J535" s="223"/>
      <c r="K535" s="223"/>
      <c r="L535" s="283"/>
      <c r="M535" s="218">
        <f>-M529</f>
        <v>0</v>
      </c>
      <c r="N535" s="218">
        <f t="shared" ref="N535:V535" si="481">-N529</f>
        <v>0</v>
      </c>
      <c r="O535" s="218">
        <f t="shared" si="481"/>
        <v>0</v>
      </c>
      <c r="P535" s="218">
        <f t="shared" si="481"/>
        <v>0</v>
      </c>
      <c r="Q535" s="218">
        <f t="shared" si="481"/>
        <v>0</v>
      </c>
      <c r="R535" s="218">
        <f t="shared" si="481"/>
        <v>0</v>
      </c>
      <c r="S535" s="218">
        <f t="shared" si="481"/>
        <v>0</v>
      </c>
      <c r="T535" s="218">
        <f t="shared" si="481"/>
        <v>0</v>
      </c>
      <c r="U535" s="218">
        <f t="shared" si="481"/>
        <v>0</v>
      </c>
      <c r="V535" s="218">
        <f t="shared" si="481"/>
        <v>0</v>
      </c>
    </row>
    <row r="536" spans="2:22" ht="13.5" customHeight="1" outlineLevel="1">
      <c r="B536" s="279" t="s">
        <v>715</v>
      </c>
      <c r="C536" s="279"/>
      <c r="D536" s="279"/>
      <c r="E536" s="279"/>
      <c r="F536" s="286">
        <f>SUM(F534:F535)</f>
        <v>8.1937499999999996</v>
      </c>
      <c r="G536" s="286">
        <f t="shared" ref="G536:I536" si="482">SUM(G534:G535)</f>
        <v>8.1937499999999996</v>
      </c>
      <c r="H536" s="286">
        <f t="shared" si="482"/>
        <v>8.1937499999999996</v>
      </c>
      <c r="I536" s="286">
        <f t="shared" si="482"/>
        <v>8.1937499999999996</v>
      </c>
      <c r="J536" s="279"/>
      <c r="K536" s="279"/>
      <c r="L536" s="280"/>
      <c r="M536" s="286">
        <f ca="1">SUM(M534:M535)</f>
        <v>0</v>
      </c>
      <c r="N536" s="286">
        <f t="shared" ref="N536" ca="1" si="483">SUM(N534:N535)</f>
        <v>0</v>
      </c>
      <c r="O536" s="286">
        <f t="shared" ref="O536" ca="1" si="484">SUM(O534:O535)</f>
        <v>0</v>
      </c>
      <c r="P536" s="286">
        <f t="shared" ref="P536" ca="1" si="485">SUM(P534:P535)</f>
        <v>0</v>
      </c>
      <c r="Q536" s="286">
        <f t="shared" ref="Q536" ca="1" si="486">SUM(Q534:Q535)</f>
        <v>0</v>
      </c>
      <c r="R536" s="286">
        <f t="shared" ref="R536" ca="1" si="487">SUM(R534:R535)</f>
        <v>0</v>
      </c>
      <c r="S536" s="286">
        <f t="shared" ref="S536" ca="1" si="488">SUM(S534:S535)</f>
        <v>0</v>
      </c>
      <c r="T536" s="286">
        <f t="shared" ref="T536" ca="1" si="489">SUM(T534:T535)</f>
        <v>0</v>
      </c>
      <c r="U536" s="286">
        <f t="shared" ref="U536" ca="1" si="490">SUM(U534:U535)</f>
        <v>0</v>
      </c>
      <c r="V536" s="286">
        <f t="shared" ref="V536" ca="1" si="491">SUM(V534:V535)</f>
        <v>0</v>
      </c>
    </row>
    <row r="537" spans="2:22" ht="5.0999999999999996" customHeight="1" outlineLevel="1" thickBot="1">
      <c r="B537" s="152"/>
      <c r="C537" s="152"/>
      <c r="D537" s="152"/>
      <c r="E537" s="152"/>
      <c r="F537" s="152"/>
      <c r="G537" s="152"/>
      <c r="H537" s="152"/>
      <c r="I537" s="152"/>
      <c r="J537" s="152"/>
      <c r="K537" s="152"/>
      <c r="L537" s="152"/>
      <c r="M537" s="287"/>
      <c r="N537" s="287"/>
      <c r="O537" s="287"/>
      <c r="P537" s="287"/>
      <c r="Q537" s="287"/>
      <c r="R537" s="287"/>
      <c r="S537" s="287"/>
      <c r="T537" s="287"/>
      <c r="U537" s="287"/>
      <c r="V537" s="287"/>
    </row>
    <row r="538" spans="2:22" ht="13.5" customHeight="1" outlineLevel="1">
      <c r="M538" s="190"/>
      <c r="N538" s="190"/>
      <c r="O538" s="190"/>
      <c r="P538" s="190"/>
      <c r="Q538" s="190"/>
      <c r="R538" s="190"/>
      <c r="S538" s="190"/>
      <c r="T538" s="190"/>
      <c r="U538" s="190"/>
      <c r="V538" s="190"/>
    </row>
    <row r="539" spans="2:22" ht="13.5" customHeight="1" outlineLevel="1">
      <c r="B539" s="273" t="str">
        <f>B1254</f>
        <v>Term loan - A</v>
      </c>
      <c r="C539" s="274"/>
      <c r="D539" s="274"/>
      <c r="E539" s="274"/>
      <c r="F539" s="274"/>
      <c r="G539" s="274"/>
      <c r="H539" s="274"/>
      <c r="I539" s="274"/>
      <c r="J539" s="274"/>
      <c r="K539" s="274"/>
      <c r="L539" s="274"/>
      <c r="M539" s="275"/>
      <c r="N539" s="275"/>
      <c r="O539" s="275"/>
      <c r="P539" s="275"/>
      <c r="Q539" s="275"/>
      <c r="R539" s="275"/>
      <c r="S539" s="275"/>
      <c r="T539" s="275"/>
      <c r="U539" s="275"/>
      <c r="V539" s="275"/>
    </row>
    <row r="540" spans="2:22" ht="13.5" customHeight="1" outlineLevel="1">
      <c r="B540" s="284" t="s">
        <v>123</v>
      </c>
      <c r="C540" s="223"/>
      <c r="D540" s="223"/>
      <c r="E540" s="223"/>
      <c r="F540" s="223"/>
      <c r="G540" s="223"/>
      <c r="H540" s="223"/>
      <c r="I540" s="223"/>
      <c r="J540" s="223"/>
      <c r="K540" s="223"/>
      <c r="L540" s="223"/>
      <c r="M540" s="282"/>
      <c r="N540" s="282"/>
      <c r="O540" s="282"/>
      <c r="P540" s="282"/>
      <c r="Q540" s="282"/>
      <c r="R540" s="282"/>
      <c r="S540" s="282"/>
      <c r="T540" s="282"/>
      <c r="U540" s="282"/>
      <c r="V540" s="282"/>
    </row>
    <row r="541" spans="2:22" ht="13.5" customHeight="1" outlineLevel="1">
      <c r="B541" s="223" t="s">
        <v>466</v>
      </c>
      <c r="C541" s="223"/>
      <c r="D541" s="223"/>
      <c r="E541" s="223"/>
      <c r="F541" s="223"/>
      <c r="G541" s="223"/>
      <c r="H541" s="223"/>
      <c r="I541" s="223"/>
      <c r="J541" s="223"/>
      <c r="K541" s="223"/>
      <c r="L541" s="223"/>
      <c r="M541" s="214">
        <f>L545</f>
        <v>50</v>
      </c>
      <c r="N541" s="214">
        <f ca="1">M545</f>
        <v>0</v>
      </c>
      <c r="O541" s="214">
        <f t="shared" ref="O541:V541" ca="1" si="492">N545</f>
        <v>0</v>
      </c>
      <c r="P541" s="214">
        <f t="shared" ca="1" si="492"/>
        <v>0</v>
      </c>
      <c r="Q541" s="214">
        <f t="shared" ca="1" si="492"/>
        <v>0</v>
      </c>
      <c r="R541" s="214">
        <f t="shared" ca="1" si="492"/>
        <v>0</v>
      </c>
      <c r="S541" s="214">
        <f t="shared" ca="1" si="492"/>
        <v>0</v>
      </c>
      <c r="T541" s="214">
        <f t="shared" ca="1" si="492"/>
        <v>0</v>
      </c>
      <c r="U541" s="214">
        <f t="shared" ca="1" si="492"/>
        <v>0</v>
      </c>
      <c r="V541" s="214">
        <f t="shared" ca="1" si="492"/>
        <v>0</v>
      </c>
    </row>
    <row r="542" spans="2:22" ht="13.5" customHeight="1" outlineLevel="1">
      <c r="B542" s="223" t="s">
        <v>697</v>
      </c>
      <c r="C542" s="223"/>
      <c r="D542" s="223"/>
      <c r="E542" s="223"/>
      <c r="F542" s="223"/>
      <c r="G542" s="223"/>
      <c r="H542" s="223"/>
      <c r="I542" s="223"/>
      <c r="J542" s="223"/>
      <c r="K542" s="223"/>
      <c r="L542" s="223"/>
      <c r="M542" s="218">
        <f t="shared" ref="M542:V542" si="493">M880*M863</f>
        <v>0</v>
      </c>
      <c r="N542" s="218">
        <f t="shared" ca="1" si="493"/>
        <v>0</v>
      </c>
      <c r="O542" s="218">
        <f t="shared" ca="1" si="493"/>
        <v>0</v>
      </c>
      <c r="P542" s="218">
        <f t="shared" ca="1" si="493"/>
        <v>0</v>
      </c>
      <c r="Q542" s="218">
        <f t="shared" ca="1" si="493"/>
        <v>0</v>
      </c>
      <c r="R542" s="218">
        <f t="shared" ca="1" si="493"/>
        <v>0</v>
      </c>
      <c r="S542" s="218">
        <f t="shared" ca="1" si="493"/>
        <v>0</v>
      </c>
      <c r="T542" s="218">
        <f t="shared" ca="1" si="493"/>
        <v>0</v>
      </c>
      <c r="U542" s="218">
        <f t="shared" ca="1" si="493"/>
        <v>0</v>
      </c>
      <c r="V542" s="218">
        <f t="shared" ca="1" si="493"/>
        <v>0</v>
      </c>
    </row>
    <row r="543" spans="2:22" ht="13.5" customHeight="1" outlineLevel="1">
      <c r="B543" s="223" t="s">
        <v>698</v>
      </c>
      <c r="C543" s="223"/>
      <c r="D543" s="223"/>
      <c r="E543" s="223"/>
      <c r="F543" s="223"/>
      <c r="G543" s="223"/>
      <c r="H543" s="223"/>
      <c r="I543" s="223"/>
      <c r="J543" s="223"/>
      <c r="K543" s="223"/>
      <c r="L543" s="223"/>
      <c r="M543" s="218">
        <f t="shared" ref="M543:V543" si="494">-MIN(M541,M434*$L545)</f>
        <v>-7.5000000000000009</v>
      </c>
      <c r="N543" s="218">
        <f t="shared" ca="1" si="494"/>
        <v>0</v>
      </c>
      <c r="O543" s="218">
        <f t="shared" ca="1" si="494"/>
        <v>0</v>
      </c>
      <c r="P543" s="218">
        <f t="shared" ca="1" si="494"/>
        <v>0</v>
      </c>
      <c r="Q543" s="218">
        <f t="shared" ca="1" si="494"/>
        <v>0</v>
      </c>
      <c r="R543" s="218">
        <f t="shared" ca="1" si="494"/>
        <v>0</v>
      </c>
      <c r="S543" s="218">
        <f t="shared" ca="1" si="494"/>
        <v>0</v>
      </c>
      <c r="T543" s="218">
        <f t="shared" ca="1" si="494"/>
        <v>0</v>
      </c>
      <c r="U543" s="218">
        <f t="shared" ca="1" si="494"/>
        <v>0</v>
      </c>
      <c r="V543" s="218">
        <f t="shared" ca="1" si="494"/>
        <v>0</v>
      </c>
    </row>
    <row r="544" spans="2:22" ht="13.5" customHeight="1" outlineLevel="1">
      <c r="B544" s="223" t="s">
        <v>699</v>
      </c>
      <c r="C544" s="223"/>
      <c r="D544" s="223"/>
      <c r="E544" s="223"/>
      <c r="F544" s="223"/>
      <c r="G544" s="223"/>
      <c r="H544" s="223"/>
      <c r="I544" s="223"/>
      <c r="J544" s="223"/>
      <c r="K544" s="223"/>
      <c r="L544" s="223"/>
      <c r="M544" s="218">
        <f t="shared" ref="M544:V544" ca="1" si="495">M481</f>
        <v>-42.5</v>
      </c>
      <c r="N544" s="218">
        <f t="shared" ca="1" si="495"/>
        <v>0</v>
      </c>
      <c r="O544" s="218">
        <f t="shared" ca="1" si="495"/>
        <v>0</v>
      </c>
      <c r="P544" s="218">
        <f t="shared" ca="1" si="495"/>
        <v>0</v>
      </c>
      <c r="Q544" s="218">
        <f t="shared" ca="1" si="495"/>
        <v>0</v>
      </c>
      <c r="R544" s="218">
        <f t="shared" ca="1" si="495"/>
        <v>0</v>
      </c>
      <c r="S544" s="218">
        <f t="shared" ca="1" si="495"/>
        <v>0</v>
      </c>
      <c r="T544" s="218">
        <f t="shared" ca="1" si="495"/>
        <v>0</v>
      </c>
      <c r="U544" s="218">
        <f t="shared" ca="1" si="495"/>
        <v>0</v>
      </c>
      <c r="V544" s="218">
        <f t="shared" ca="1" si="495"/>
        <v>0</v>
      </c>
    </row>
    <row r="545" spans="2:22" ht="13.5" customHeight="1" outlineLevel="1">
      <c r="B545" s="279" t="s">
        <v>467</v>
      </c>
      <c r="C545" s="279"/>
      <c r="D545" s="279"/>
      <c r="E545" s="279"/>
      <c r="F545" s="279"/>
      <c r="G545" s="279"/>
      <c r="H545" s="279"/>
      <c r="I545" s="279"/>
      <c r="J545" s="279"/>
      <c r="K545" s="279"/>
      <c r="L545" s="280">
        <f>M1254</f>
        <v>50</v>
      </c>
      <c r="M545" s="286">
        <f ca="1">SUM(M541:M544)</f>
        <v>0</v>
      </c>
      <c r="N545" s="286">
        <f t="shared" ref="N545:V545" ca="1" si="496">SUM(N541:N544)</f>
        <v>0</v>
      </c>
      <c r="O545" s="286">
        <f t="shared" ca="1" si="496"/>
        <v>0</v>
      </c>
      <c r="P545" s="286">
        <f t="shared" ca="1" si="496"/>
        <v>0</v>
      </c>
      <c r="Q545" s="286">
        <f t="shared" ca="1" si="496"/>
        <v>0</v>
      </c>
      <c r="R545" s="286">
        <f t="shared" ca="1" si="496"/>
        <v>0</v>
      </c>
      <c r="S545" s="286">
        <f t="shared" ca="1" si="496"/>
        <v>0</v>
      </c>
      <c r="T545" s="286">
        <f t="shared" ca="1" si="496"/>
        <v>0</v>
      </c>
      <c r="U545" s="286">
        <f t="shared" ca="1" si="496"/>
        <v>0</v>
      </c>
      <c r="V545" s="286">
        <f t="shared" ca="1" si="496"/>
        <v>0</v>
      </c>
    </row>
    <row r="546" spans="2:22" ht="13.5" customHeight="1" outlineLevel="1">
      <c r="B546" s="223"/>
      <c r="C546" s="223"/>
      <c r="D546" s="223"/>
      <c r="E546" s="223"/>
      <c r="F546" s="223"/>
      <c r="G546" s="223"/>
      <c r="H546" s="223"/>
      <c r="I546" s="223"/>
      <c r="J546" s="223"/>
      <c r="K546" s="223"/>
      <c r="L546" s="223"/>
      <c r="M546" s="282"/>
      <c r="N546" s="282"/>
      <c r="O546" s="282"/>
      <c r="P546" s="282"/>
      <c r="Q546" s="282"/>
      <c r="R546" s="282"/>
      <c r="S546" s="282"/>
      <c r="T546" s="282"/>
      <c r="U546" s="282"/>
      <c r="V546" s="282"/>
    </row>
    <row r="547" spans="2:22" ht="13.5" customHeight="1" outlineLevel="1">
      <c r="B547" s="284" t="s">
        <v>700</v>
      </c>
      <c r="C547" s="223"/>
      <c r="D547" s="223"/>
      <c r="E547" s="223"/>
      <c r="F547" s="223"/>
      <c r="G547" s="223"/>
      <c r="H547" s="223"/>
      <c r="I547" s="223"/>
      <c r="J547" s="223"/>
      <c r="K547" s="223"/>
      <c r="L547" s="223"/>
      <c r="M547" s="282"/>
      <c r="N547" s="282"/>
      <c r="O547" s="282"/>
      <c r="P547" s="282"/>
      <c r="Q547" s="282"/>
      <c r="R547" s="282"/>
      <c r="S547" s="282"/>
      <c r="T547" s="282"/>
      <c r="U547" s="282"/>
      <c r="V547" s="282"/>
    </row>
    <row r="548" spans="2:22" ht="13.5" customHeight="1" outlineLevel="1">
      <c r="B548" s="223" t="s">
        <v>466</v>
      </c>
      <c r="C548" s="223"/>
      <c r="D548" s="223"/>
      <c r="E548" s="223"/>
      <c r="F548" s="223"/>
      <c r="G548" s="223"/>
      <c r="H548" s="223"/>
      <c r="I548" s="223"/>
      <c r="J548" s="223"/>
      <c r="K548" s="223"/>
      <c r="L548" s="223"/>
      <c r="M548" s="214">
        <f>L554</f>
        <v>50</v>
      </c>
      <c r="N548" s="214">
        <f ca="1">M554</f>
        <v>0</v>
      </c>
      <c r="O548" s="214">
        <f t="shared" ref="O548:V548" ca="1" si="497">N554</f>
        <v>0</v>
      </c>
      <c r="P548" s="214">
        <f t="shared" ca="1" si="497"/>
        <v>0</v>
      </c>
      <c r="Q548" s="214">
        <f t="shared" ca="1" si="497"/>
        <v>0</v>
      </c>
      <c r="R548" s="214">
        <f t="shared" ca="1" si="497"/>
        <v>0</v>
      </c>
      <c r="S548" s="214">
        <f t="shared" ca="1" si="497"/>
        <v>0</v>
      </c>
      <c r="T548" s="214">
        <f t="shared" ca="1" si="497"/>
        <v>0</v>
      </c>
      <c r="U548" s="214">
        <f t="shared" ca="1" si="497"/>
        <v>0</v>
      </c>
      <c r="V548" s="214">
        <f t="shared" ca="1" si="497"/>
        <v>0</v>
      </c>
    </row>
    <row r="549" spans="2:22" ht="13.5" customHeight="1" outlineLevel="1">
      <c r="B549" s="223" t="s">
        <v>701</v>
      </c>
      <c r="C549" s="223"/>
      <c r="D549" s="223"/>
      <c r="E549" s="223"/>
      <c r="F549" s="223"/>
      <c r="G549" s="223"/>
      <c r="H549" s="223"/>
      <c r="I549" s="223"/>
      <c r="J549" s="223"/>
      <c r="K549" s="223"/>
      <c r="L549" s="223"/>
      <c r="M549" s="218">
        <f>-M558</f>
        <v>0</v>
      </c>
      <c r="N549" s="218">
        <f t="shared" ref="N549:V549" ca="1" si="498">-N558</f>
        <v>0</v>
      </c>
      <c r="O549" s="218">
        <f t="shared" ca="1" si="498"/>
        <v>0</v>
      </c>
      <c r="P549" s="218">
        <f t="shared" ca="1" si="498"/>
        <v>0</v>
      </c>
      <c r="Q549" s="218">
        <f t="shared" ca="1" si="498"/>
        <v>0</v>
      </c>
      <c r="R549" s="218">
        <f t="shared" ca="1" si="498"/>
        <v>0</v>
      </c>
      <c r="S549" s="218">
        <f t="shared" ca="1" si="498"/>
        <v>0</v>
      </c>
      <c r="T549" s="218">
        <f t="shared" ca="1" si="498"/>
        <v>0</v>
      </c>
      <c r="U549" s="218">
        <f t="shared" ca="1" si="498"/>
        <v>0</v>
      </c>
      <c r="V549" s="218">
        <f t="shared" ca="1" si="498"/>
        <v>0</v>
      </c>
    </row>
    <row r="550" spans="2:22" ht="13.5" customHeight="1" outlineLevel="1">
      <c r="B550" s="223" t="s">
        <v>697</v>
      </c>
      <c r="C550" s="223"/>
      <c r="D550" s="223"/>
      <c r="E550" s="223"/>
      <c r="F550" s="223"/>
      <c r="G550" s="223"/>
      <c r="H550" s="223"/>
      <c r="I550" s="223"/>
      <c r="J550" s="223"/>
      <c r="K550" s="223"/>
      <c r="L550" s="223"/>
      <c r="M550" s="218">
        <f>M542</f>
        <v>0</v>
      </c>
      <c r="N550" s="218">
        <f t="shared" ref="N550:V550" ca="1" si="499">N542</f>
        <v>0</v>
      </c>
      <c r="O550" s="218">
        <f t="shared" ca="1" si="499"/>
        <v>0</v>
      </c>
      <c r="P550" s="218">
        <f t="shared" ca="1" si="499"/>
        <v>0</v>
      </c>
      <c r="Q550" s="218">
        <f t="shared" ca="1" si="499"/>
        <v>0</v>
      </c>
      <c r="R550" s="218">
        <f t="shared" ca="1" si="499"/>
        <v>0</v>
      </c>
      <c r="S550" s="218">
        <f t="shared" ca="1" si="499"/>
        <v>0</v>
      </c>
      <c r="T550" s="218">
        <f t="shared" ca="1" si="499"/>
        <v>0</v>
      </c>
      <c r="U550" s="218">
        <f t="shared" ca="1" si="499"/>
        <v>0</v>
      </c>
      <c r="V550" s="218">
        <f t="shared" ca="1" si="499"/>
        <v>0</v>
      </c>
    </row>
    <row r="551" spans="2:22" ht="13.5" customHeight="1" outlineLevel="1">
      <c r="B551" s="223" t="s">
        <v>698</v>
      </c>
      <c r="C551" s="223"/>
      <c r="D551" s="223"/>
      <c r="E551" s="223"/>
      <c r="F551" s="223"/>
      <c r="G551" s="223"/>
      <c r="H551" s="223"/>
      <c r="I551" s="223"/>
      <c r="J551" s="223"/>
      <c r="K551" s="223"/>
      <c r="L551" s="223"/>
      <c r="M551" s="218">
        <f>M543</f>
        <v>-7.5000000000000009</v>
      </c>
      <c r="N551" s="218">
        <f t="shared" ref="N551:V552" ca="1" si="500">N543</f>
        <v>0</v>
      </c>
      <c r="O551" s="218">
        <f t="shared" ca="1" si="500"/>
        <v>0</v>
      </c>
      <c r="P551" s="218">
        <f t="shared" ca="1" si="500"/>
        <v>0</v>
      </c>
      <c r="Q551" s="218">
        <f t="shared" ca="1" si="500"/>
        <v>0</v>
      </c>
      <c r="R551" s="218">
        <f t="shared" ca="1" si="500"/>
        <v>0</v>
      </c>
      <c r="S551" s="218">
        <f t="shared" ca="1" si="500"/>
        <v>0</v>
      </c>
      <c r="T551" s="218">
        <f t="shared" ca="1" si="500"/>
        <v>0</v>
      </c>
      <c r="U551" s="218">
        <f t="shared" ca="1" si="500"/>
        <v>0</v>
      </c>
      <c r="V551" s="218">
        <f t="shared" ca="1" si="500"/>
        <v>0</v>
      </c>
    </row>
    <row r="552" spans="2:22" ht="13.5" customHeight="1" outlineLevel="1">
      <c r="B552" s="223" t="s">
        <v>699</v>
      </c>
      <c r="C552" s="223"/>
      <c r="D552" s="223"/>
      <c r="E552" s="223"/>
      <c r="F552" s="223"/>
      <c r="G552" s="223"/>
      <c r="H552" s="223"/>
      <c r="I552" s="223"/>
      <c r="J552" s="223"/>
      <c r="K552" s="223"/>
      <c r="L552" s="223"/>
      <c r="M552" s="218">
        <f ca="1">M544</f>
        <v>-42.5</v>
      </c>
      <c r="N552" s="218">
        <f t="shared" ca="1" si="500"/>
        <v>0</v>
      </c>
      <c r="O552" s="218">
        <f t="shared" ca="1" si="500"/>
        <v>0</v>
      </c>
      <c r="P552" s="218">
        <f t="shared" ca="1" si="500"/>
        <v>0</v>
      </c>
      <c r="Q552" s="218">
        <f t="shared" ca="1" si="500"/>
        <v>0</v>
      </c>
      <c r="R552" s="218">
        <f t="shared" ca="1" si="500"/>
        <v>0</v>
      </c>
      <c r="S552" s="218">
        <f t="shared" ca="1" si="500"/>
        <v>0</v>
      </c>
      <c r="T552" s="218">
        <f t="shared" ca="1" si="500"/>
        <v>0</v>
      </c>
      <c r="U552" s="218">
        <f t="shared" ca="1" si="500"/>
        <v>0</v>
      </c>
      <c r="V552" s="218">
        <f t="shared" ca="1" si="500"/>
        <v>0</v>
      </c>
    </row>
    <row r="553" spans="2:22" ht="13.5" customHeight="1" outlineLevel="1">
      <c r="B553" s="223" t="s">
        <v>702</v>
      </c>
      <c r="C553" s="223"/>
      <c r="D553" s="223"/>
      <c r="E553" s="223"/>
      <c r="F553" s="223"/>
      <c r="G553" s="223"/>
      <c r="H553" s="223"/>
      <c r="I553" s="223"/>
      <c r="J553" s="223"/>
      <c r="K553" s="223"/>
      <c r="L553" s="223"/>
      <c r="M553" s="218">
        <f ca="1">-M559</f>
        <v>0</v>
      </c>
      <c r="N553" s="218">
        <f t="shared" ref="N553:V553" ca="1" si="501">-N559</f>
        <v>0</v>
      </c>
      <c r="O553" s="218">
        <f t="shared" ca="1" si="501"/>
        <v>0</v>
      </c>
      <c r="P553" s="218">
        <f t="shared" ca="1" si="501"/>
        <v>0</v>
      </c>
      <c r="Q553" s="218">
        <f t="shared" ca="1" si="501"/>
        <v>0</v>
      </c>
      <c r="R553" s="218">
        <f t="shared" ca="1" si="501"/>
        <v>0</v>
      </c>
      <c r="S553" s="218">
        <f t="shared" ca="1" si="501"/>
        <v>0</v>
      </c>
      <c r="T553" s="218">
        <f t="shared" ca="1" si="501"/>
        <v>0</v>
      </c>
      <c r="U553" s="218">
        <f t="shared" ca="1" si="501"/>
        <v>0</v>
      </c>
      <c r="V553" s="218">
        <f t="shared" ca="1" si="501"/>
        <v>0</v>
      </c>
    </row>
    <row r="554" spans="2:22" ht="13.5" customHeight="1" outlineLevel="1">
      <c r="B554" s="279" t="s">
        <v>467</v>
      </c>
      <c r="C554" s="279"/>
      <c r="D554" s="279"/>
      <c r="E554" s="279"/>
      <c r="F554" s="279"/>
      <c r="G554" s="279"/>
      <c r="H554" s="279"/>
      <c r="I554" s="279"/>
      <c r="J554" s="279"/>
      <c r="K554" s="279"/>
      <c r="L554" s="280">
        <f>L545*(1-$O1302)</f>
        <v>50</v>
      </c>
      <c r="M554" s="286">
        <f ca="1">SUM(M548:M553)</f>
        <v>0</v>
      </c>
      <c r="N554" s="286">
        <f t="shared" ref="N554:V554" ca="1" si="502">SUM(N548:N553)</f>
        <v>0</v>
      </c>
      <c r="O554" s="286">
        <f t="shared" ca="1" si="502"/>
        <v>0</v>
      </c>
      <c r="P554" s="286">
        <f t="shared" ca="1" si="502"/>
        <v>0</v>
      </c>
      <c r="Q554" s="286">
        <f t="shared" ca="1" si="502"/>
        <v>0</v>
      </c>
      <c r="R554" s="286">
        <f t="shared" ca="1" si="502"/>
        <v>0</v>
      </c>
      <c r="S554" s="286">
        <f t="shared" ca="1" si="502"/>
        <v>0</v>
      </c>
      <c r="T554" s="286">
        <f t="shared" ca="1" si="502"/>
        <v>0</v>
      </c>
      <c r="U554" s="286">
        <f t="shared" ca="1" si="502"/>
        <v>0</v>
      </c>
      <c r="V554" s="286">
        <f t="shared" ca="1" si="502"/>
        <v>0</v>
      </c>
    </row>
    <row r="555" spans="2:22" ht="13.5" customHeight="1" outlineLevel="1">
      <c r="B555" s="223"/>
      <c r="C555" s="223"/>
      <c r="D555" s="223"/>
      <c r="E555" s="223"/>
      <c r="F555" s="223"/>
      <c r="G555" s="223"/>
      <c r="H555" s="223"/>
      <c r="I555" s="223"/>
      <c r="J555" s="223"/>
      <c r="K555" s="223"/>
      <c r="L555" s="223"/>
      <c r="M555" s="282"/>
      <c r="N555" s="282"/>
      <c r="O555" s="282"/>
      <c r="P555" s="282"/>
      <c r="Q555" s="282"/>
      <c r="R555" s="282"/>
      <c r="S555" s="282"/>
      <c r="T555" s="282"/>
      <c r="U555" s="282"/>
      <c r="V555" s="282"/>
    </row>
    <row r="556" spans="2:22" ht="13.5" customHeight="1" outlineLevel="1">
      <c r="B556" s="284" t="s">
        <v>703</v>
      </c>
      <c r="C556" s="223"/>
      <c r="D556" s="223"/>
      <c r="E556" s="223"/>
      <c r="F556" s="223"/>
      <c r="G556" s="223"/>
      <c r="H556" s="223"/>
      <c r="I556" s="223"/>
      <c r="J556" s="223"/>
      <c r="K556" s="223"/>
      <c r="L556" s="223"/>
      <c r="M556" s="282"/>
      <c r="N556" s="282"/>
      <c r="O556" s="282"/>
      <c r="P556" s="282"/>
      <c r="Q556" s="282"/>
      <c r="R556" s="282"/>
      <c r="S556" s="282"/>
      <c r="T556" s="282"/>
      <c r="U556" s="282"/>
      <c r="V556" s="282"/>
    </row>
    <row r="557" spans="2:22" ht="13.5" customHeight="1" outlineLevel="1">
      <c r="B557" s="223" t="s">
        <v>466</v>
      </c>
      <c r="C557" s="223"/>
      <c r="D557" s="223"/>
      <c r="E557" s="223"/>
      <c r="F557" s="223"/>
      <c r="G557" s="223"/>
      <c r="H557" s="223"/>
      <c r="I557" s="223"/>
      <c r="J557" s="223"/>
      <c r="K557" s="223"/>
      <c r="L557" s="223"/>
      <c r="M557" s="214">
        <f>L560</f>
        <v>0</v>
      </c>
      <c r="N557" s="214">
        <f ca="1">M560</f>
        <v>0</v>
      </c>
      <c r="O557" s="214">
        <f t="shared" ref="O557:V557" ca="1" si="503">N560</f>
        <v>0</v>
      </c>
      <c r="P557" s="214">
        <f t="shared" ca="1" si="503"/>
        <v>0</v>
      </c>
      <c r="Q557" s="214">
        <f t="shared" ca="1" si="503"/>
        <v>0</v>
      </c>
      <c r="R557" s="214">
        <f t="shared" ca="1" si="503"/>
        <v>0</v>
      </c>
      <c r="S557" s="214">
        <f t="shared" ca="1" si="503"/>
        <v>0</v>
      </c>
      <c r="T557" s="214">
        <f t="shared" ca="1" si="503"/>
        <v>0</v>
      </c>
      <c r="U557" s="214">
        <f t="shared" ca="1" si="503"/>
        <v>0</v>
      </c>
      <c r="V557" s="214">
        <f t="shared" ca="1" si="503"/>
        <v>0</v>
      </c>
    </row>
    <row r="558" spans="2:22" ht="13.5" customHeight="1" outlineLevel="1">
      <c r="B558" s="223" t="s">
        <v>704</v>
      </c>
      <c r="C558" s="223"/>
      <c r="D558" s="223"/>
      <c r="E558" s="223"/>
      <c r="F558" s="223"/>
      <c r="G558" s="223"/>
      <c r="H558" s="223"/>
      <c r="I558" s="223"/>
      <c r="J558" s="223"/>
      <c r="K558" s="223"/>
      <c r="L558" s="223"/>
      <c r="M558" s="282">
        <f t="shared" ref="M558:V558" si="504">IFERROR(-MIN(M557/L447*M$148,M557),0)</f>
        <v>0</v>
      </c>
      <c r="N558" s="282">
        <f t="shared" ca="1" si="504"/>
        <v>0</v>
      </c>
      <c r="O558" s="282">
        <f t="shared" ca="1" si="504"/>
        <v>0</v>
      </c>
      <c r="P558" s="282">
        <f t="shared" ca="1" si="504"/>
        <v>0</v>
      </c>
      <c r="Q558" s="282">
        <f t="shared" ca="1" si="504"/>
        <v>0</v>
      </c>
      <c r="R558" s="282">
        <f t="shared" ca="1" si="504"/>
        <v>0</v>
      </c>
      <c r="S558" s="282">
        <f t="shared" ca="1" si="504"/>
        <v>0</v>
      </c>
      <c r="T558" s="282">
        <f t="shared" ca="1" si="504"/>
        <v>0</v>
      </c>
      <c r="U558" s="282">
        <f t="shared" ca="1" si="504"/>
        <v>0</v>
      </c>
      <c r="V558" s="282">
        <f t="shared" ca="1" si="504"/>
        <v>0</v>
      </c>
    </row>
    <row r="559" spans="2:22" ht="13.5" customHeight="1" outlineLevel="1">
      <c r="B559" s="223" t="s">
        <v>448</v>
      </c>
      <c r="C559" s="223"/>
      <c r="D559" s="223"/>
      <c r="E559" s="223"/>
      <c r="F559" s="223"/>
      <c r="G559" s="223"/>
      <c r="H559" s="223"/>
      <c r="I559" s="223"/>
      <c r="J559" s="223"/>
      <c r="K559" s="223"/>
      <c r="L559" s="223"/>
      <c r="M559" s="218">
        <f ca="1">IFERROR(SUM(M557:M558)*SUM(M543:M544)/L545,0)</f>
        <v>0</v>
      </c>
      <c r="N559" s="218">
        <f t="shared" ref="N559:V559" ca="1" si="505">IFERROR(SUM(N557:N558)*SUM(N543:N544)/M545,0)</f>
        <v>0</v>
      </c>
      <c r="O559" s="218">
        <f t="shared" ca="1" si="505"/>
        <v>0</v>
      </c>
      <c r="P559" s="218">
        <f t="shared" ca="1" si="505"/>
        <v>0</v>
      </c>
      <c r="Q559" s="218">
        <f t="shared" ca="1" si="505"/>
        <v>0</v>
      </c>
      <c r="R559" s="218">
        <f t="shared" ca="1" si="505"/>
        <v>0</v>
      </c>
      <c r="S559" s="218">
        <f t="shared" ca="1" si="505"/>
        <v>0</v>
      </c>
      <c r="T559" s="218">
        <f t="shared" ca="1" si="505"/>
        <v>0</v>
      </c>
      <c r="U559" s="218">
        <f t="shared" ca="1" si="505"/>
        <v>0</v>
      </c>
      <c r="V559" s="218">
        <f t="shared" ca="1" si="505"/>
        <v>0</v>
      </c>
    </row>
    <row r="560" spans="2:22" ht="13.5" customHeight="1" outlineLevel="1">
      <c r="B560" s="279" t="s">
        <v>467</v>
      </c>
      <c r="C560" s="279"/>
      <c r="D560" s="279"/>
      <c r="E560" s="279"/>
      <c r="F560" s="279"/>
      <c r="G560" s="279"/>
      <c r="H560" s="279"/>
      <c r="I560" s="279"/>
      <c r="J560" s="279"/>
      <c r="K560" s="279"/>
      <c r="L560" s="280">
        <f>M1254*O1302</f>
        <v>0</v>
      </c>
      <c r="M560" s="286">
        <f ca="1">SUM(M557:M559)</f>
        <v>0</v>
      </c>
      <c r="N560" s="286">
        <f ca="1">SUM(N557:N559)</f>
        <v>0</v>
      </c>
      <c r="O560" s="286">
        <f t="shared" ref="O560:V560" ca="1" si="506">SUM(O557:O559)</f>
        <v>0</v>
      </c>
      <c r="P560" s="286">
        <f t="shared" ca="1" si="506"/>
        <v>0</v>
      </c>
      <c r="Q560" s="286">
        <f t="shared" ca="1" si="506"/>
        <v>0</v>
      </c>
      <c r="R560" s="286">
        <f t="shared" ca="1" si="506"/>
        <v>0</v>
      </c>
      <c r="S560" s="286">
        <f t="shared" ca="1" si="506"/>
        <v>0</v>
      </c>
      <c r="T560" s="286">
        <f t="shared" ca="1" si="506"/>
        <v>0</v>
      </c>
      <c r="U560" s="286">
        <f t="shared" ca="1" si="506"/>
        <v>0</v>
      </c>
      <c r="V560" s="286">
        <f t="shared" ca="1" si="506"/>
        <v>0</v>
      </c>
    </row>
    <row r="561" spans="2:22" ht="13.5" customHeight="1" outlineLevel="1">
      <c r="B561" s="223"/>
      <c r="C561" s="223"/>
      <c r="D561" s="223"/>
      <c r="E561" s="223"/>
      <c r="F561" s="223"/>
      <c r="G561" s="223"/>
      <c r="H561" s="223"/>
      <c r="I561" s="223"/>
      <c r="J561" s="223"/>
      <c r="K561" s="223"/>
      <c r="L561" s="283"/>
      <c r="M561" s="285"/>
      <c r="N561" s="285"/>
      <c r="O561" s="285"/>
      <c r="P561" s="285"/>
      <c r="Q561" s="285"/>
      <c r="R561" s="285"/>
      <c r="S561" s="285"/>
      <c r="T561" s="285"/>
      <c r="U561" s="285"/>
      <c r="V561" s="285"/>
    </row>
    <row r="562" spans="2:22" ht="13.5" customHeight="1" outlineLevel="1">
      <c r="B562" s="284" t="s">
        <v>147</v>
      </c>
      <c r="C562" s="223"/>
      <c r="D562" s="223"/>
      <c r="E562" s="223"/>
      <c r="F562" s="223"/>
      <c r="G562" s="223"/>
      <c r="H562" s="223"/>
      <c r="I562" s="223"/>
      <c r="J562" s="223"/>
      <c r="K562" s="223"/>
      <c r="L562" s="283"/>
      <c r="M562" s="285"/>
      <c r="N562" s="285"/>
      <c r="O562" s="285"/>
      <c r="P562" s="285"/>
      <c r="Q562" s="285"/>
      <c r="R562" s="285"/>
      <c r="S562" s="285"/>
      <c r="T562" s="285"/>
      <c r="U562" s="285"/>
      <c r="V562" s="285"/>
    </row>
    <row r="563" spans="2:22" ht="13.5" customHeight="1" outlineLevel="1">
      <c r="B563" s="223" t="s">
        <v>714</v>
      </c>
      <c r="C563" s="223"/>
      <c r="D563" s="223"/>
      <c r="E563" s="223"/>
      <c r="F563" s="223"/>
      <c r="G563" s="223"/>
      <c r="H563" s="223"/>
      <c r="I563" s="223"/>
      <c r="J563" s="223"/>
      <c r="K563" s="223"/>
      <c r="L563" s="283"/>
      <c r="M563" s="285">
        <f t="shared" ref="M563:V563" si="507">M850*IF(avg_int,AVERAGE(M541,M545),M541)*M$148</f>
        <v>2.8387499999999992</v>
      </c>
      <c r="N563" s="285">
        <f t="shared" ca="1" si="507"/>
        <v>0</v>
      </c>
      <c r="O563" s="285">
        <f t="shared" ca="1" si="507"/>
        <v>0</v>
      </c>
      <c r="P563" s="285">
        <f t="shared" ca="1" si="507"/>
        <v>0</v>
      </c>
      <c r="Q563" s="285">
        <f t="shared" ca="1" si="507"/>
        <v>0</v>
      </c>
      <c r="R563" s="285">
        <f t="shared" ca="1" si="507"/>
        <v>0</v>
      </c>
      <c r="S563" s="285">
        <f t="shared" ca="1" si="507"/>
        <v>0</v>
      </c>
      <c r="T563" s="285">
        <f t="shared" ca="1" si="507"/>
        <v>0</v>
      </c>
      <c r="U563" s="285">
        <f t="shared" ca="1" si="507"/>
        <v>0</v>
      </c>
      <c r="V563" s="285">
        <f t="shared" ca="1" si="507"/>
        <v>0</v>
      </c>
    </row>
    <row r="564" spans="2:22" ht="13.5" customHeight="1" outlineLevel="1">
      <c r="B564" s="223" t="s">
        <v>701</v>
      </c>
      <c r="C564" s="223"/>
      <c r="D564" s="223"/>
      <c r="E564" s="223"/>
      <c r="F564" s="223"/>
      <c r="G564" s="223"/>
      <c r="H564" s="223"/>
      <c r="I564" s="223"/>
      <c r="J564" s="223"/>
      <c r="K564" s="223"/>
      <c r="L564" s="283"/>
      <c r="M564" s="218">
        <f>-M558</f>
        <v>0</v>
      </c>
      <c r="N564" s="218">
        <f t="shared" ref="N564:V564" ca="1" si="508">-N558</f>
        <v>0</v>
      </c>
      <c r="O564" s="218">
        <f t="shared" ca="1" si="508"/>
        <v>0</v>
      </c>
      <c r="P564" s="218">
        <f t="shared" ca="1" si="508"/>
        <v>0</v>
      </c>
      <c r="Q564" s="218">
        <f t="shared" ca="1" si="508"/>
        <v>0</v>
      </c>
      <c r="R564" s="218">
        <f t="shared" ca="1" si="508"/>
        <v>0</v>
      </c>
      <c r="S564" s="218">
        <f t="shared" ca="1" si="508"/>
        <v>0</v>
      </c>
      <c r="T564" s="218">
        <f t="shared" ca="1" si="508"/>
        <v>0</v>
      </c>
      <c r="U564" s="218">
        <f t="shared" ca="1" si="508"/>
        <v>0</v>
      </c>
      <c r="V564" s="218">
        <f t="shared" ca="1" si="508"/>
        <v>0</v>
      </c>
    </row>
    <row r="565" spans="2:22" ht="13.5" customHeight="1" outlineLevel="1">
      <c r="B565" s="279" t="s">
        <v>715</v>
      </c>
      <c r="C565" s="279"/>
      <c r="D565" s="279"/>
      <c r="E565" s="279"/>
      <c r="F565" s="279"/>
      <c r="G565" s="279"/>
      <c r="H565" s="279"/>
      <c r="I565" s="279"/>
      <c r="J565" s="279"/>
      <c r="K565" s="279"/>
      <c r="L565" s="280"/>
      <c r="M565" s="286">
        <f>SUM(M563:M564)</f>
        <v>2.8387499999999992</v>
      </c>
      <c r="N565" s="286">
        <f t="shared" ref="N565:V565" ca="1" si="509">SUM(N563:N564)</f>
        <v>0</v>
      </c>
      <c r="O565" s="286">
        <f t="shared" ca="1" si="509"/>
        <v>0</v>
      </c>
      <c r="P565" s="286">
        <f t="shared" ca="1" si="509"/>
        <v>0</v>
      </c>
      <c r="Q565" s="286">
        <f t="shared" ca="1" si="509"/>
        <v>0</v>
      </c>
      <c r="R565" s="286">
        <f t="shared" ca="1" si="509"/>
        <v>0</v>
      </c>
      <c r="S565" s="286">
        <f t="shared" ca="1" si="509"/>
        <v>0</v>
      </c>
      <c r="T565" s="286">
        <f t="shared" ca="1" si="509"/>
        <v>0</v>
      </c>
      <c r="U565" s="286">
        <f t="shared" ca="1" si="509"/>
        <v>0</v>
      </c>
      <c r="V565" s="286">
        <f t="shared" ca="1" si="509"/>
        <v>0</v>
      </c>
    </row>
    <row r="566" spans="2:22" ht="5.0999999999999996" customHeight="1" outlineLevel="1" thickBot="1">
      <c r="B566" s="152"/>
      <c r="C566" s="152"/>
      <c r="D566" s="152"/>
      <c r="E566" s="152"/>
      <c r="F566" s="152"/>
      <c r="G566" s="152"/>
      <c r="H566" s="152"/>
      <c r="I566" s="152"/>
      <c r="J566" s="152"/>
      <c r="K566" s="152"/>
      <c r="L566" s="152"/>
      <c r="M566" s="287"/>
      <c r="N566" s="287"/>
      <c r="O566" s="287"/>
      <c r="P566" s="287"/>
      <c r="Q566" s="287"/>
      <c r="R566" s="287"/>
      <c r="S566" s="287"/>
      <c r="T566" s="287"/>
      <c r="U566" s="287"/>
      <c r="V566" s="287"/>
    </row>
    <row r="567" spans="2:22" ht="13.5" customHeight="1" outlineLevel="1">
      <c r="M567" s="190"/>
      <c r="N567" s="190"/>
      <c r="O567" s="190"/>
      <c r="P567" s="190"/>
      <c r="Q567" s="190"/>
      <c r="R567" s="190"/>
      <c r="S567" s="190"/>
      <c r="T567" s="190"/>
      <c r="U567" s="190"/>
      <c r="V567" s="190"/>
    </row>
    <row r="568" spans="2:22" ht="13.5" customHeight="1" outlineLevel="1">
      <c r="B568" s="273" t="str">
        <f>B1255</f>
        <v>Term loan - B</v>
      </c>
      <c r="C568" s="274"/>
      <c r="D568" s="274"/>
      <c r="E568" s="274"/>
      <c r="F568" s="274"/>
      <c r="G568" s="274"/>
      <c r="H568" s="274"/>
      <c r="I568" s="274"/>
      <c r="J568" s="274"/>
      <c r="K568" s="274"/>
      <c r="L568" s="274"/>
      <c r="M568" s="275"/>
      <c r="N568" s="275"/>
      <c r="O568" s="275"/>
      <c r="P568" s="275"/>
      <c r="Q568" s="275"/>
      <c r="R568" s="275"/>
      <c r="S568" s="275"/>
      <c r="T568" s="275"/>
      <c r="U568" s="275"/>
      <c r="V568" s="275"/>
    </row>
    <row r="569" spans="2:22" ht="13.5" customHeight="1" outlineLevel="1">
      <c r="B569" s="284" t="s">
        <v>123</v>
      </c>
      <c r="C569" s="223"/>
      <c r="D569" s="223"/>
      <c r="E569" s="223"/>
      <c r="F569" s="223"/>
      <c r="G569" s="223"/>
      <c r="H569" s="223"/>
      <c r="I569" s="223"/>
      <c r="J569" s="223"/>
      <c r="K569" s="223"/>
      <c r="L569" s="223"/>
      <c r="M569" s="282"/>
      <c r="N569" s="282"/>
      <c r="O569" s="282"/>
      <c r="P569" s="282"/>
      <c r="Q569" s="282"/>
      <c r="R569" s="282"/>
      <c r="S569" s="282"/>
      <c r="T569" s="282"/>
      <c r="U569" s="282"/>
      <c r="V569" s="282"/>
    </row>
    <row r="570" spans="2:22" ht="13.5" customHeight="1" outlineLevel="1">
      <c r="B570" s="223" t="s">
        <v>466</v>
      </c>
      <c r="C570" s="223"/>
      <c r="D570" s="223"/>
      <c r="E570" s="223"/>
      <c r="F570" s="223"/>
      <c r="G570" s="223"/>
      <c r="H570" s="223"/>
      <c r="I570" s="223"/>
      <c r="J570" s="223"/>
      <c r="K570" s="223"/>
      <c r="L570" s="223"/>
      <c r="M570" s="214">
        <f>L574</f>
        <v>0</v>
      </c>
      <c r="N570" s="214">
        <f ca="1">M574</f>
        <v>0</v>
      </c>
      <c r="O570" s="214">
        <f t="shared" ref="O570:V570" ca="1" si="510">N574</f>
        <v>0</v>
      </c>
      <c r="P570" s="214">
        <f t="shared" ca="1" si="510"/>
        <v>0</v>
      </c>
      <c r="Q570" s="214">
        <f t="shared" ca="1" si="510"/>
        <v>0</v>
      </c>
      <c r="R570" s="214">
        <f t="shared" ca="1" si="510"/>
        <v>0</v>
      </c>
      <c r="S570" s="214">
        <f t="shared" ca="1" si="510"/>
        <v>0</v>
      </c>
      <c r="T570" s="214">
        <f t="shared" ca="1" si="510"/>
        <v>0</v>
      </c>
      <c r="U570" s="214">
        <f t="shared" ca="1" si="510"/>
        <v>0</v>
      </c>
      <c r="V570" s="214">
        <f t="shared" ca="1" si="510"/>
        <v>0</v>
      </c>
    </row>
    <row r="571" spans="2:22" ht="13.5" customHeight="1" outlineLevel="1">
      <c r="B571" s="223" t="s">
        <v>697</v>
      </c>
      <c r="C571" s="223"/>
      <c r="D571" s="223"/>
      <c r="E571" s="223"/>
      <c r="F571" s="223"/>
      <c r="G571" s="223"/>
      <c r="H571" s="223"/>
      <c r="I571" s="223"/>
      <c r="J571" s="223"/>
      <c r="K571" s="223"/>
      <c r="L571" s="223"/>
      <c r="M571" s="218">
        <f t="shared" ref="M571:V571" si="511">M881*M864</f>
        <v>0</v>
      </c>
      <c r="N571" s="218">
        <f t="shared" ca="1" si="511"/>
        <v>0</v>
      </c>
      <c r="O571" s="218">
        <f t="shared" ca="1" si="511"/>
        <v>0</v>
      </c>
      <c r="P571" s="218">
        <f t="shared" ca="1" si="511"/>
        <v>0</v>
      </c>
      <c r="Q571" s="218">
        <f t="shared" ca="1" si="511"/>
        <v>0</v>
      </c>
      <c r="R571" s="218">
        <f t="shared" ca="1" si="511"/>
        <v>0</v>
      </c>
      <c r="S571" s="218">
        <f t="shared" ca="1" si="511"/>
        <v>0</v>
      </c>
      <c r="T571" s="218">
        <f t="shared" ca="1" si="511"/>
        <v>0</v>
      </c>
      <c r="U571" s="218">
        <f t="shared" ca="1" si="511"/>
        <v>0</v>
      </c>
      <c r="V571" s="218">
        <f t="shared" ca="1" si="511"/>
        <v>0</v>
      </c>
    </row>
    <row r="572" spans="2:22" ht="13.5" customHeight="1" outlineLevel="1">
      <c r="B572" s="223" t="s">
        <v>698</v>
      </c>
      <c r="C572" s="223"/>
      <c r="D572" s="223"/>
      <c r="E572" s="223"/>
      <c r="F572" s="223"/>
      <c r="G572" s="223"/>
      <c r="H572" s="223"/>
      <c r="I572" s="223"/>
      <c r="J572" s="223"/>
      <c r="K572" s="223"/>
      <c r="L572" s="223"/>
      <c r="M572" s="218">
        <f t="shared" ref="M572:V572" si="512">-MIN(M570,M435*$L574)</f>
        <v>0</v>
      </c>
      <c r="N572" s="218">
        <f t="shared" ca="1" si="512"/>
        <v>0</v>
      </c>
      <c r="O572" s="218">
        <f t="shared" ca="1" si="512"/>
        <v>0</v>
      </c>
      <c r="P572" s="218">
        <f t="shared" ca="1" si="512"/>
        <v>0</v>
      </c>
      <c r="Q572" s="218">
        <f t="shared" ca="1" si="512"/>
        <v>0</v>
      </c>
      <c r="R572" s="218">
        <f t="shared" ca="1" si="512"/>
        <v>0</v>
      </c>
      <c r="S572" s="218">
        <f t="shared" ca="1" si="512"/>
        <v>0</v>
      </c>
      <c r="T572" s="218">
        <f t="shared" ca="1" si="512"/>
        <v>0</v>
      </c>
      <c r="U572" s="218">
        <f t="shared" ca="1" si="512"/>
        <v>0</v>
      </c>
      <c r="V572" s="218">
        <f t="shared" ca="1" si="512"/>
        <v>0</v>
      </c>
    </row>
    <row r="573" spans="2:22" ht="13.5" customHeight="1" outlineLevel="1">
      <c r="B573" s="223" t="s">
        <v>699</v>
      </c>
      <c r="C573" s="223"/>
      <c r="D573" s="223"/>
      <c r="E573" s="223"/>
      <c r="F573" s="223"/>
      <c r="G573" s="223"/>
      <c r="H573" s="223"/>
      <c r="I573" s="223"/>
      <c r="J573" s="223"/>
      <c r="K573" s="223"/>
      <c r="L573" s="223"/>
      <c r="M573" s="218">
        <f t="shared" ref="M573:V573" ca="1" si="513">M482</f>
        <v>0</v>
      </c>
      <c r="N573" s="218">
        <f t="shared" ca="1" si="513"/>
        <v>0</v>
      </c>
      <c r="O573" s="218">
        <f t="shared" ca="1" si="513"/>
        <v>0</v>
      </c>
      <c r="P573" s="218">
        <f t="shared" ca="1" si="513"/>
        <v>0</v>
      </c>
      <c r="Q573" s="218">
        <f t="shared" ca="1" si="513"/>
        <v>0</v>
      </c>
      <c r="R573" s="218">
        <f t="shared" ca="1" si="513"/>
        <v>0</v>
      </c>
      <c r="S573" s="218">
        <f t="shared" ca="1" si="513"/>
        <v>0</v>
      </c>
      <c r="T573" s="218">
        <f t="shared" ca="1" si="513"/>
        <v>0</v>
      </c>
      <c r="U573" s="218">
        <f t="shared" ca="1" si="513"/>
        <v>0</v>
      </c>
      <c r="V573" s="218">
        <f t="shared" ca="1" si="513"/>
        <v>0</v>
      </c>
    </row>
    <row r="574" spans="2:22" ht="13.5" customHeight="1" outlineLevel="1">
      <c r="B574" s="279" t="s">
        <v>467</v>
      </c>
      <c r="C574" s="279"/>
      <c r="D574" s="279"/>
      <c r="E574" s="279"/>
      <c r="F574" s="279"/>
      <c r="G574" s="279"/>
      <c r="H574" s="279"/>
      <c r="I574" s="279"/>
      <c r="J574" s="279"/>
      <c r="K574" s="279"/>
      <c r="L574" s="280">
        <f>M1255</f>
        <v>0</v>
      </c>
      <c r="M574" s="286">
        <f ca="1">SUM(M570:M573)</f>
        <v>0</v>
      </c>
      <c r="N574" s="286">
        <f t="shared" ref="N574" ca="1" si="514">SUM(N570:N573)</f>
        <v>0</v>
      </c>
      <c r="O574" s="286">
        <f t="shared" ref="O574" ca="1" si="515">SUM(O570:O573)</f>
        <v>0</v>
      </c>
      <c r="P574" s="286">
        <f t="shared" ref="P574" ca="1" si="516">SUM(P570:P573)</f>
        <v>0</v>
      </c>
      <c r="Q574" s="286">
        <f t="shared" ref="Q574" ca="1" si="517">SUM(Q570:Q573)</f>
        <v>0</v>
      </c>
      <c r="R574" s="286">
        <f t="shared" ref="R574" ca="1" si="518">SUM(R570:R573)</f>
        <v>0</v>
      </c>
      <c r="S574" s="286">
        <f t="shared" ref="S574" ca="1" si="519">SUM(S570:S573)</f>
        <v>0</v>
      </c>
      <c r="T574" s="286">
        <f t="shared" ref="T574" ca="1" si="520">SUM(T570:T573)</f>
        <v>0</v>
      </c>
      <c r="U574" s="286">
        <f t="shared" ref="U574" ca="1" si="521">SUM(U570:U573)</f>
        <v>0</v>
      </c>
      <c r="V574" s="286">
        <f t="shared" ref="V574" ca="1" si="522">SUM(V570:V573)</f>
        <v>0</v>
      </c>
    </row>
    <row r="575" spans="2:22" ht="13.5" customHeight="1" outlineLevel="1">
      <c r="B575" s="223"/>
      <c r="C575" s="223"/>
      <c r="D575" s="223"/>
      <c r="E575" s="223"/>
      <c r="F575" s="223"/>
      <c r="G575" s="223"/>
      <c r="H575" s="223"/>
      <c r="I575" s="223"/>
      <c r="J575" s="223"/>
      <c r="K575" s="223"/>
      <c r="L575" s="223"/>
      <c r="M575" s="282"/>
      <c r="N575" s="282"/>
      <c r="O575" s="282"/>
      <c r="P575" s="282"/>
      <c r="Q575" s="282"/>
      <c r="R575" s="282"/>
      <c r="S575" s="282"/>
      <c r="T575" s="282"/>
      <c r="U575" s="282"/>
      <c r="V575" s="282"/>
    </row>
    <row r="576" spans="2:22" ht="13.5" customHeight="1" outlineLevel="1">
      <c r="B576" s="284" t="s">
        <v>700</v>
      </c>
      <c r="C576" s="223"/>
      <c r="D576" s="223"/>
      <c r="E576" s="223"/>
      <c r="F576" s="223"/>
      <c r="G576" s="223"/>
      <c r="H576" s="223"/>
      <c r="I576" s="223"/>
      <c r="J576" s="223"/>
      <c r="K576" s="223"/>
      <c r="L576" s="223"/>
      <c r="M576" s="282"/>
      <c r="N576" s="282"/>
      <c r="O576" s="282"/>
      <c r="P576" s="282"/>
      <c r="Q576" s="282"/>
      <c r="R576" s="282"/>
      <c r="S576" s="282"/>
      <c r="T576" s="282"/>
      <c r="U576" s="282"/>
      <c r="V576" s="282"/>
    </row>
    <row r="577" spans="2:22" ht="13.5" customHeight="1" outlineLevel="1">
      <c r="B577" s="223" t="s">
        <v>466</v>
      </c>
      <c r="C577" s="223"/>
      <c r="D577" s="223"/>
      <c r="E577" s="223"/>
      <c r="F577" s="223"/>
      <c r="G577" s="223"/>
      <c r="H577" s="223"/>
      <c r="I577" s="223"/>
      <c r="J577" s="223"/>
      <c r="K577" s="223"/>
      <c r="L577" s="223"/>
      <c r="M577" s="214">
        <f>L583</f>
        <v>0</v>
      </c>
      <c r="N577" s="214">
        <f ca="1">M583</f>
        <v>0</v>
      </c>
      <c r="O577" s="214">
        <f t="shared" ref="O577:V577" ca="1" si="523">N583</f>
        <v>0</v>
      </c>
      <c r="P577" s="214">
        <f t="shared" ca="1" si="523"/>
        <v>0</v>
      </c>
      <c r="Q577" s="214">
        <f t="shared" ca="1" si="523"/>
        <v>0</v>
      </c>
      <c r="R577" s="214">
        <f t="shared" ca="1" si="523"/>
        <v>0</v>
      </c>
      <c r="S577" s="214">
        <f t="shared" ca="1" si="523"/>
        <v>0</v>
      </c>
      <c r="T577" s="214">
        <f t="shared" ca="1" si="523"/>
        <v>0</v>
      </c>
      <c r="U577" s="214">
        <f t="shared" ca="1" si="523"/>
        <v>0</v>
      </c>
      <c r="V577" s="214">
        <f t="shared" ca="1" si="523"/>
        <v>0</v>
      </c>
    </row>
    <row r="578" spans="2:22" ht="13.5" customHeight="1" outlineLevel="1">
      <c r="B578" s="223" t="s">
        <v>701</v>
      </c>
      <c r="C578" s="223"/>
      <c r="D578" s="223"/>
      <c r="E578" s="223"/>
      <c r="F578" s="223"/>
      <c r="G578" s="223"/>
      <c r="H578" s="223"/>
      <c r="I578" s="223"/>
      <c r="J578" s="223"/>
      <c r="K578" s="223"/>
      <c r="L578" s="223"/>
      <c r="M578" s="218">
        <f>-M587</f>
        <v>0</v>
      </c>
      <c r="N578" s="218">
        <f t="shared" ref="N578:V578" ca="1" si="524">-N587</f>
        <v>0</v>
      </c>
      <c r="O578" s="218">
        <f t="shared" ca="1" si="524"/>
        <v>0</v>
      </c>
      <c r="P578" s="218">
        <f t="shared" ca="1" si="524"/>
        <v>0</v>
      </c>
      <c r="Q578" s="218">
        <f t="shared" ca="1" si="524"/>
        <v>0</v>
      </c>
      <c r="R578" s="218">
        <f t="shared" ca="1" si="524"/>
        <v>0</v>
      </c>
      <c r="S578" s="218">
        <f t="shared" ca="1" si="524"/>
        <v>0</v>
      </c>
      <c r="T578" s="218">
        <f t="shared" ca="1" si="524"/>
        <v>0</v>
      </c>
      <c r="U578" s="218">
        <f t="shared" ca="1" si="524"/>
        <v>0</v>
      </c>
      <c r="V578" s="218">
        <f t="shared" ca="1" si="524"/>
        <v>0</v>
      </c>
    </row>
    <row r="579" spans="2:22" ht="13.5" customHeight="1" outlineLevel="1">
      <c r="B579" s="223" t="s">
        <v>697</v>
      </c>
      <c r="C579" s="223"/>
      <c r="D579" s="223"/>
      <c r="E579" s="223"/>
      <c r="F579" s="223"/>
      <c r="G579" s="223"/>
      <c r="H579" s="223"/>
      <c r="I579" s="223"/>
      <c r="J579" s="223"/>
      <c r="K579" s="223"/>
      <c r="L579" s="223"/>
      <c r="M579" s="218">
        <f>M571</f>
        <v>0</v>
      </c>
      <c r="N579" s="218">
        <f t="shared" ref="N579:V579" ca="1" si="525">N571</f>
        <v>0</v>
      </c>
      <c r="O579" s="218">
        <f t="shared" ca="1" si="525"/>
        <v>0</v>
      </c>
      <c r="P579" s="218">
        <f t="shared" ca="1" si="525"/>
        <v>0</v>
      </c>
      <c r="Q579" s="218">
        <f t="shared" ca="1" si="525"/>
        <v>0</v>
      </c>
      <c r="R579" s="218">
        <f t="shared" ca="1" si="525"/>
        <v>0</v>
      </c>
      <c r="S579" s="218">
        <f t="shared" ca="1" si="525"/>
        <v>0</v>
      </c>
      <c r="T579" s="218">
        <f t="shared" ca="1" si="525"/>
        <v>0</v>
      </c>
      <c r="U579" s="218">
        <f t="shared" ca="1" si="525"/>
        <v>0</v>
      </c>
      <c r="V579" s="218">
        <f t="shared" ca="1" si="525"/>
        <v>0</v>
      </c>
    </row>
    <row r="580" spans="2:22" ht="13.5" customHeight="1" outlineLevel="1">
      <c r="B580" s="223" t="s">
        <v>698</v>
      </c>
      <c r="C580" s="223"/>
      <c r="D580" s="223"/>
      <c r="E580" s="223"/>
      <c r="F580" s="223"/>
      <c r="G580" s="223"/>
      <c r="H580" s="223"/>
      <c r="I580" s="223"/>
      <c r="J580" s="223"/>
      <c r="K580" s="223"/>
      <c r="L580" s="223"/>
      <c r="M580" s="218">
        <f>M572</f>
        <v>0</v>
      </c>
      <c r="N580" s="218">
        <f t="shared" ref="N580:V580" ca="1" si="526">N572</f>
        <v>0</v>
      </c>
      <c r="O580" s="218">
        <f t="shared" ca="1" si="526"/>
        <v>0</v>
      </c>
      <c r="P580" s="218">
        <f t="shared" ca="1" si="526"/>
        <v>0</v>
      </c>
      <c r="Q580" s="218">
        <f t="shared" ca="1" si="526"/>
        <v>0</v>
      </c>
      <c r="R580" s="218">
        <f t="shared" ca="1" si="526"/>
        <v>0</v>
      </c>
      <c r="S580" s="218">
        <f t="shared" ca="1" si="526"/>
        <v>0</v>
      </c>
      <c r="T580" s="218">
        <f t="shared" ca="1" si="526"/>
        <v>0</v>
      </c>
      <c r="U580" s="218">
        <f t="shared" ca="1" si="526"/>
        <v>0</v>
      </c>
      <c r="V580" s="218">
        <f t="shared" ca="1" si="526"/>
        <v>0</v>
      </c>
    </row>
    <row r="581" spans="2:22" ht="13.5" customHeight="1" outlineLevel="1">
      <c r="B581" s="223" t="s">
        <v>699</v>
      </c>
      <c r="C581" s="223"/>
      <c r="D581" s="223"/>
      <c r="E581" s="223"/>
      <c r="F581" s="223"/>
      <c r="G581" s="223"/>
      <c r="H581" s="223"/>
      <c r="I581" s="223"/>
      <c r="J581" s="223"/>
      <c r="K581" s="223"/>
      <c r="L581" s="223"/>
      <c r="M581" s="218">
        <f ca="1">M573</f>
        <v>0</v>
      </c>
      <c r="N581" s="218">
        <f t="shared" ref="N581:V581" ca="1" si="527">N573</f>
        <v>0</v>
      </c>
      <c r="O581" s="218">
        <f t="shared" ca="1" si="527"/>
        <v>0</v>
      </c>
      <c r="P581" s="218">
        <f t="shared" ca="1" si="527"/>
        <v>0</v>
      </c>
      <c r="Q581" s="218">
        <f t="shared" ca="1" si="527"/>
        <v>0</v>
      </c>
      <c r="R581" s="218">
        <f t="shared" ca="1" si="527"/>
        <v>0</v>
      </c>
      <c r="S581" s="218">
        <f t="shared" ca="1" si="527"/>
        <v>0</v>
      </c>
      <c r="T581" s="218">
        <f t="shared" ca="1" si="527"/>
        <v>0</v>
      </c>
      <c r="U581" s="218">
        <f t="shared" ca="1" si="527"/>
        <v>0</v>
      </c>
      <c r="V581" s="218">
        <f t="shared" ca="1" si="527"/>
        <v>0</v>
      </c>
    </row>
    <row r="582" spans="2:22" ht="13.5" customHeight="1" outlineLevel="1">
      <c r="B582" s="223" t="s">
        <v>702</v>
      </c>
      <c r="C582" s="223"/>
      <c r="D582" s="223"/>
      <c r="E582" s="223"/>
      <c r="F582" s="223"/>
      <c r="G582" s="223"/>
      <c r="H582" s="223"/>
      <c r="I582" s="223"/>
      <c r="J582" s="223"/>
      <c r="K582" s="223"/>
      <c r="L582" s="223"/>
      <c r="M582" s="218">
        <f ca="1">-M588</f>
        <v>0</v>
      </c>
      <c r="N582" s="218">
        <f t="shared" ref="N582:V582" ca="1" si="528">-N588</f>
        <v>0</v>
      </c>
      <c r="O582" s="218">
        <f t="shared" ca="1" si="528"/>
        <v>0</v>
      </c>
      <c r="P582" s="218">
        <f t="shared" ca="1" si="528"/>
        <v>0</v>
      </c>
      <c r="Q582" s="218">
        <f t="shared" ca="1" si="528"/>
        <v>0</v>
      </c>
      <c r="R582" s="218">
        <f t="shared" ca="1" si="528"/>
        <v>0</v>
      </c>
      <c r="S582" s="218">
        <f t="shared" ca="1" si="528"/>
        <v>0</v>
      </c>
      <c r="T582" s="218">
        <f t="shared" ca="1" si="528"/>
        <v>0</v>
      </c>
      <c r="U582" s="218">
        <f t="shared" ca="1" si="528"/>
        <v>0</v>
      </c>
      <c r="V582" s="218">
        <f t="shared" ca="1" si="528"/>
        <v>0</v>
      </c>
    </row>
    <row r="583" spans="2:22" ht="13.5" customHeight="1" outlineLevel="1">
      <c r="B583" s="279" t="s">
        <v>467</v>
      </c>
      <c r="C583" s="279"/>
      <c r="D583" s="279"/>
      <c r="E583" s="279"/>
      <c r="F583" s="279"/>
      <c r="G583" s="279"/>
      <c r="H583" s="279"/>
      <c r="I583" s="279"/>
      <c r="J583" s="279"/>
      <c r="K583" s="279"/>
      <c r="L583" s="280">
        <f>L574*(1-$O1303)</f>
        <v>0</v>
      </c>
      <c r="M583" s="286">
        <f ca="1">SUM(M577:M582)</f>
        <v>0</v>
      </c>
      <c r="N583" s="286">
        <f t="shared" ref="N583" ca="1" si="529">SUM(N577:N582)</f>
        <v>0</v>
      </c>
      <c r="O583" s="286">
        <f t="shared" ref="O583" ca="1" si="530">SUM(O577:O582)</f>
        <v>0</v>
      </c>
      <c r="P583" s="286">
        <f t="shared" ref="P583" ca="1" si="531">SUM(P577:P582)</f>
        <v>0</v>
      </c>
      <c r="Q583" s="286">
        <f t="shared" ref="Q583" ca="1" si="532">SUM(Q577:Q582)</f>
        <v>0</v>
      </c>
      <c r="R583" s="286">
        <f t="shared" ref="R583" ca="1" si="533">SUM(R577:R582)</f>
        <v>0</v>
      </c>
      <c r="S583" s="286">
        <f t="shared" ref="S583" ca="1" si="534">SUM(S577:S582)</f>
        <v>0</v>
      </c>
      <c r="T583" s="286">
        <f t="shared" ref="T583" ca="1" si="535">SUM(T577:T582)</f>
        <v>0</v>
      </c>
      <c r="U583" s="286">
        <f t="shared" ref="U583" ca="1" si="536">SUM(U577:U582)</f>
        <v>0</v>
      </c>
      <c r="V583" s="286">
        <f t="shared" ref="V583" ca="1" si="537">SUM(V577:V582)</f>
        <v>0</v>
      </c>
    </row>
    <row r="584" spans="2:22" ht="13.5" customHeight="1" outlineLevel="1">
      <c r="B584" s="223"/>
      <c r="C584" s="223"/>
      <c r="D584" s="223"/>
      <c r="E584" s="223"/>
      <c r="F584" s="223"/>
      <c r="G584" s="223"/>
      <c r="H584" s="223"/>
      <c r="I584" s="223"/>
      <c r="J584" s="223"/>
      <c r="K584" s="223"/>
      <c r="L584" s="223"/>
      <c r="M584" s="282"/>
      <c r="N584" s="282"/>
      <c r="O584" s="282"/>
      <c r="P584" s="282"/>
      <c r="Q584" s="282"/>
      <c r="R584" s="282"/>
      <c r="S584" s="282"/>
      <c r="T584" s="282"/>
      <c r="U584" s="282"/>
      <c r="V584" s="282"/>
    </row>
    <row r="585" spans="2:22" ht="13.5" customHeight="1" outlineLevel="1">
      <c r="B585" s="284" t="s">
        <v>703</v>
      </c>
      <c r="C585" s="223"/>
      <c r="D585" s="223"/>
      <c r="E585" s="223"/>
      <c r="F585" s="223"/>
      <c r="G585" s="223"/>
      <c r="H585" s="223"/>
      <c r="I585" s="223"/>
      <c r="J585" s="223"/>
      <c r="K585" s="223"/>
      <c r="L585" s="223"/>
      <c r="M585" s="282"/>
      <c r="N585" s="282"/>
      <c r="O585" s="282"/>
      <c r="P585" s="282"/>
      <c r="Q585" s="282"/>
      <c r="R585" s="282"/>
      <c r="S585" s="282"/>
      <c r="T585" s="282"/>
      <c r="U585" s="282"/>
      <c r="V585" s="282"/>
    </row>
    <row r="586" spans="2:22" ht="13.5" customHeight="1" outlineLevel="1">
      <c r="B586" s="223" t="s">
        <v>466</v>
      </c>
      <c r="C586" s="223"/>
      <c r="D586" s="223"/>
      <c r="E586" s="223"/>
      <c r="F586" s="223"/>
      <c r="G586" s="223"/>
      <c r="H586" s="223"/>
      <c r="I586" s="223"/>
      <c r="J586" s="223"/>
      <c r="K586" s="223"/>
      <c r="L586" s="223"/>
      <c r="M586" s="214">
        <f>L589</f>
        <v>0</v>
      </c>
      <c r="N586" s="214">
        <f ca="1">M589</f>
        <v>0</v>
      </c>
      <c r="O586" s="214">
        <f t="shared" ref="O586:V586" ca="1" si="538">N589</f>
        <v>0</v>
      </c>
      <c r="P586" s="214">
        <f t="shared" ca="1" si="538"/>
        <v>0</v>
      </c>
      <c r="Q586" s="214">
        <f t="shared" ca="1" si="538"/>
        <v>0</v>
      </c>
      <c r="R586" s="214">
        <f t="shared" ca="1" si="538"/>
        <v>0</v>
      </c>
      <c r="S586" s="214">
        <f t="shared" ca="1" si="538"/>
        <v>0</v>
      </c>
      <c r="T586" s="214">
        <f t="shared" ca="1" si="538"/>
        <v>0</v>
      </c>
      <c r="U586" s="214">
        <f t="shared" ca="1" si="538"/>
        <v>0</v>
      </c>
      <c r="V586" s="214">
        <f t="shared" ca="1" si="538"/>
        <v>0</v>
      </c>
    </row>
    <row r="587" spans="2:22" ht="13.5" customHeight="1" outlineLevel="1">
      <c r="B587" s="223" t="s">
        <v>704</v>
      </c>
      <c r="C587" s="223"/>
      <c r="D587" s="223"/>
      <c r="E587" s="223"/>
      <c r="F587" s="223"/>
      <c r="G587" s="223"/>
      <c r="H587" s="223"/>
      <c r="I587" s="223"/>
      <c r="J587" s="223"/>
      <c r="K587" s="223"/>
      <c r="L587" s="223"/>
      <c r="M587" s="282">
        <f t="shared" ref="M587:V587" si="539">IFERROR(-MIN(M586/L448*M$148,M586),0)</f>
        <v>0</v>
      </c>
      <c r="N587" s="282">
        <f t="shared" ca="1" si="539"/>
        <v>0</v>
      </c>
      <c r="O587" s="282">
        <f t="shared" ca="1" si="539"/>
        <v>0</v>
      </c>
      <c r="P587" s="282">
        <f t="shared" ca="1" si="539"/>
        <v>0</v>
      </c>
      <c r="Q587" s="282">
        <f t="shared" ca="1" si="539"/>
        <v>0</v>
      </c>
      <c r="R587" s="282">
        <f t="shared" ca="1" si="539"/>
        <v>0</v>
      </c>
      <c r="S587" s="282">
        <f t="shared" ca="1" si="539"/>
        <v>0</v>
      </c>
      <c r="T587" s="282">
        <f t="shared" ca="1" si="539"/>
        <v>0</v>
      </c>
      <c r="U587" s="282">
        <f t="shared" ca="1" si="539"/>
        <v>0</v>
      </c>
      <c r="V587" s="282">
        <f t="shared" ca="1" si="539"/>
        <v>0</v>
      </c>
    </row>
    <row r="588" spans="2:22" ht="13.5" customHeight="1" outlineLevel="1">
      <c r="B588" s="223" t="s">
        <v>448</v>
      </c>
      <c r="C588" s="223"/>
      <c r="D588" s="223"/>
      <c r="E588" s="223"/>
      <c r="F588" s="223"/>
      <c r="G588" s="223"/>
      <c r="H588" s="223"/>
      <c r="I588" s="223"/>
      <c r="J588" s="223"/>
      <c r="K588" s="223"/>
      <c r="L588" s="223"/>
      <c r="M588" s="218">
        <f ca="1">IFERROR(SUM(M586:M587)*SUM(M572:M573)/L574,0)</f>
        <v>0</v>
      </c>
      <c r="N588" s="218">
        <f t="shared" ref="N588" ca="1" si="540">IFERROR(SUM(N586:N587)*SUM(N572:N573)/M574,0)</f>
        <v>0</v>
      </c>
      <c r="O588" s="218">
        <f t="shared" ref="O588" ca="1" si="541">IFERROR(SUM(O586:O587)*SUM(O572:O573)/N574,0)</f>
        <v>0</v>
      </c>
      <c r="P588" s="218">
        <f t="shared" ref="P588" ca="1" si="542">IFERROR(SUM(P586:P587)*SUM(P572:P573)/O574,0)</f>
        <v>0</v>
      </c>
      <c r="Q588" s="218">
        <f t="shared" ref="Q588" ca="1" si="543">IFERROR(SUM(Q586:Q587)*SUM(Q572:Q573)/P574,0)</f>
        <v>0</v>
      </c>
      <c r="R588" s="218">
        <f t="shared" ref="R588" ca="1" si="544">IFERROR(SUM(R586:R587)*SUM(R572:R573)/Q574,0)</f>
        <v>0</v>
      </c>
      <c r="S588" s="218">
        <f t="shared" ref="S588" ca="1" si="545">IFERROR(SUM(S586:S587)*SUM(S572:S573)/R574,0)</f>
        <v>0</v>
      </c>
      <c r="T588" s="218">
        <f t="shared" ref="T588" ca="1" si="546">IFERROR(SUM(T586:T587)*SUM(T572:T573)/S574,0)</f>
        <v>0</v>
      </c>
      <c r="U588" s="218">
        <f t="shared" ref="U588" ca="1" si="547">IFERROR(SUM(U586:U587)*SUM(U572:U573)/T574,0)</f>
        <v>0</v>
      </c>
      <c r="V588" s="218">
        <f t="shared" ref="V588" ca="1" si="548">IFERROR(SUM(V586:V587)*SUM(V572:V573)/U574,0)</f>
        <v>0</v>
      </c>
    </row>
    <row r="589" spans="2:22" ht="13.5" customHeight="1" outlineLevel="1">
      <c r="B589" s="279" t="s">
        <v>467</v>
      </c>
      <c r="C589" s="279"/>
      <c r="D589" s="279"/>
      <c r="E589" s="279"/>
      <c r="F589" s="279"/>
      <c r="G589" s="279"/>
      <c r="H589" s="279"/>
      <c r="I589" s="279"/>
      <c r="J589" s="279"/>
      <c r="K589" s="279"/>
      <c r="L589" s="280">
        <f>M1255*O1303</f>
        <v>0</v>
      </c>
      <c r="M589" s="286">
        <f ca="1">SUM(M586:M588)</f>
        <v>0</v>
      </c>
      <c r="N589" s="286">
        <f ca="1">SUM(N586:N588)</f>
        <v>0</v>
      </c>
      <c r="O589" s="286">
        <f t="shared" ref="O589" ca="1" si="549">SUM(O586:O588)</f>
        <v>0</v>
      </c>
      <c r="P589" s="286">
        <f t="shared" ref="P589" ca="1" si="550">SUM(P586:P588)</f>
        <v>0</v>
      </c>
      <c r="Q589" s="286">
        <f t="shared" ref="Q589" ca="1" si="551">SUM(Q586:Q588)</f>
        <v>0</v>
      </c>
      <c r="R589" s="286">
        <f t="shared" ref="R589" ca="1" si="552">SUM(R586:R588)</f>
        <v>0</v>
      </c>
      <c r="S589" s="286">
        <f t="shared" ref="S589" ca="1" si="553">SUM(S586:S588)</f>
        <v>0</v>
      </c>
      <c r="T589" s="286">
        <f t="shared" ref="T589" ca="1" si="554">SUM(T586:T588)</f>
        <v>0</v>
      </c>
      <c r="U589" s="286">
        <f t="shared" ref="U589" ca="1" si="555">SUM(U586:U588)</f>
        <v>0</v>
      </c>
      <c r="V589" s="286">
        <f t="shared" ref="V589" ca="1" si="556">SUM(V586:V588)</f>
        <v>0</v>
      </c>
    </row>
    <row r="590" spans="2:22" ht="13.5" customHeight="1" outlineLevel="1">
      <c r="B590" s="223"/>
      <c r="C590" s="223"/>
      <c r="D590" s="223"/>
      <c r="E590" s="223"/>
      <c r="F590" s="223"/>
      <c r="G590" s="223"/>
      <c r="H590" s="223"/>
      <c r="I590" s="223"/>
      <c r="J590" s="223"/>
      <c r="K590" s="223"/>
      <c r="L590" s="283"/>
      <c r="M590" s="285"/>
      <c r="N590" s="285"/>
      <c r="O590" s="285"/>
      <c r="P590" s="285"/>
      <c r="Q590" s="285"/>
      <c r="R590" s="285"/>
      <c r="S590" s="285"/>
      <c r="T590" s="285"/>
      <c r="U590" s="285"/>
      <c r="V590" s="285"/>
    </row>
    <row r="591" spans="2:22" ht="13.5" customHeight="1" outlineLevel="1">
      <c r="B591" s="284" t="s">
        <v>147</v>
      </c>
      <c r="C591" s="223"/>
      <c r="D591" s="223"/>
      <c r="E591" s="223"/>
      <c r="F591" s="223"/>
      <c r="G591" s="223"/>
      <c r="H591" s="223"/>
      <c r="I591" s="223"/>
      <c r="J591" s="223"/>
      <c r="K591" s="223"/>
      <c r="L591" s="283"/>
      <c r="M591" s="285"/>
      <c r="N591" s="285"/>
      <c r="O591" s="285"/>
      <c r="P591" s="285"/>
      <c r="Q591" s="285"/>
      <c r="R591" s="285"/>
      <c r="S591" s="285"/>
      <c r="T591" s="285"/>
      <c r="U591" s="285"/>
      <c r="V591" s="285"/>
    </row>
    <row r="592" spans="2:22" ht="13.5" customHeight="1" outlineLevel="1">
      <c r="B592" s="223" t="s">
        <v>714</v>
      </c>
      <c r="C592" s="223"/>
      <c r="D592" s="223"/>
      <c r="E592" s="223"/>
      <c r="F592" s="223"/>
      <c r="G592" s="223"/>
      <c r="H592" s="223"/>
      <c r="I592" s="223"/>
      <c r="J592" s="223"/>
      <c r="K592" s="223"/>
      <c r="L592" s="283"/>
      <c r="M592" s="285">
        <f t="shared" ref="M592:V592" si="557">M851*IF(avg_int,AVERAGE(M570,M574),M570)*M$148</f>
        <v>0</v>
      </c>
      <c r="N592" s="285">
        <f t="shared" ca="1" si="557"/>
        <v>0</v>
      </c>
      <c r="O592" s="285">
        <f t="shared" ca="1" si="557"/>
        <v>0</v>
      </c>
      <c r="P592" s="285">
        <f t="shared" ca="1" si="557"/>
        <v>0</v>
      </c>
      <c r="Q592" s="285">
        <f t="shared" ca="1" si="557"/>
        <v>0</v>
      </c>
      <c r="R592" s="285">
        <f t="shared" ca="1" si="557"/>
        <v>0</v>
      </c>
      <c r="S592" s="285">
        <f t="shared" ca="1" si="557"/>
        <v>0</v>
      </c>
      <c r="T592" s="285">
        <f t="shared" ca="1" si="557"/>
        <v>0</v>
      </c>
      <c r="U592" s="285">
        <f t="shared" ca="1" si="557"/>
        <v>0</v>
      </c>
      <c r="V592" s="285">
        <f t="shared" ca="1" si="557"/>
        <v>0</v>
      </c>
    </row>
    <row r="593" spans="2:22" ht="13.5" customHeight="1" outlineLevel="1">
      <c r="B593" s="223" t="s">
        <v>701</v>
      </c>
      <c r="C593" s="223"/>
      <c r="D593" s="223"/>
      <c r="E593" s="223"/>
      <c r="F593" s="223"/>
      <c r="G593" s="223"/>
      <c r="H593" s="223"/>
      <c r="I593" s="223"/>
      <c r="J593" s="223"/>
      <c r="K593" s="223"/>
      <c r="L593" s="283"/>
      <c r="M593" s="218">
        <f>-M587</f>
        <v>0</v>
      </c>
      <c r="N593" s="218">
        <f t="shared" ref="N593:V593" ca="1" si="558">-N587</f>
        <v>0</v>
      </c>
      <c r="O593" s="218">
        <f t="shared" ca="1" si="558"/>
        <v>0</v>
      </c>
      <c r="P593" s="218">
        <f t="shared" ca="1" si="558"/>
        <v>0</v>
      </c>
      <c r="Q593" s="218">
        <f t="shared" ca="1" si="558"/>
        <v>0</v>
      </c>
      <c r="R593" s="218">
        <f t="shared" ca="1" si="558"/>
        <v>0</v>
      </c>
      <c r="S593" s="218">
        <f t="shared" ca="1" si="558"/>
        <v>0</v>
      </c>
      <c r="T593" s="218">
        <f t="shared" ca="1" si="558"/>
        <v>0</v>
      </c>
      <c r="U593" s="218">
        <f t="shared" ca="1" si="558"/>
        <v>0</v>
      </c>
      <c r="V593" s="218">
        <f t="shared" ca="1" si="558"/>
        <v>0</v>
      </c>
    </row>
    <row r="594" spans="2:22" ht="13.5" customHeight="1" outlineLevel="1">
      <c r="B594" s="279" t="s">
        <v>715</v>
      </c>
      <c r="C594" s="279"/>
      <c r="D594" s="279"/>
      <c r="E594" s="279"/>
      <c r="F594" s="279"/>
      <c r="G594" s="279"/>
      <c r="H594" s="279"/>
      <c r="I594" s="279"/>
      <c r="J594" s="279"/>
      <c r="K594" s="279"/>
      <c r="L594" s="280"/>
      <c r="M594" s="286">
        <f>SUM(M592:M593)</f>
        <v>0</v>
      </c>
      <c r="N594" s="286">
        <f t="shared" ref="N594:V594" ca="1" si="559">SUM(N592:N593)</f>
        <v>0</v>
      </c>
      <c r="O594" s="286">
        <f t="shared" ca="1" si="559"/>
        <v>0</v>
      </c>
      <c r="P594" s="286">
        <f t="shared" ca="1" si="559"/>
        <v>0</v>
      </c>
      <c r="Q594" s="286">
        <f t="shared" ca="1" si="559"/>
        <v>0</v>
      </c>
      <c r="R594" s="286">
        <f t="shared" ca="1" si="559"/>
        <v>0</v>
      </c>
      <c r="S594" s="286">
        <f t="shared" ca="1" si="559"/>
        <v>0</v>
      </c>
      <c r="T594" s="286">
        <f t="shared" ca="1" si="559"/>
        <v>0</v>
      </c>
      <c r="U594" s="286">
        <f t="shared" ca="1" si="559"/>
        <v>0</v>
      </c>
      <c r="V594" s="286">
        <f t="shared" ca="1" si="559"/>
        <v>0</v>
      </c>
    </row>
    <row r="595" spans="2:22" ht="5.0999999999999996" customHeight="1" outlineLevel="1" thickBot="1">
      <c r="B595" s="152"/>
      <c r="C595" s="152"/>
      <c r="D595" s="152"/>
      <c r="E595" s="152"/>
      <c r="F595" s="152"/>
      <c r="G595" s="152"/>
      <c r="H595" s="152"/>
      <c r="I595" s="152"/>
      <c r="J595" s="152"/>
      <c r="K595" s="152"/>
      <c r="L595" s="152"/>
      <c r="M595" s="287"/>
      <c r="N595" s="287"/>
      <c r="O595" s="287"/>
      <c r="P595" s="287"/>
      <c r="Q595" s="287"/>
      <c r="R595" s="287"/>
      <c r="S595" s="287"/>
      <c r="T595" s="287"/>
      <c r="U595" s="287"/>
      <c r="V595" s="287"/>
    </row>
    <row r="596" spans="2:22" ht="13.5" customHeight="1" outlineLevel="1">
      <c r="M596" s="190"/>
      <c r="N596" s="190"/>
      <c r="O596" s="190"/>
      <c r="P596" s="190"/>
      <c r="Q596" s="190"/>
      <c r="R596" s="190"/>
      <c r="S596" s="190"/>
      <c r="T596" s="190"/>
      <c r="U596" s="190"/>
      <c r="V596" s="190"/>
    </row>
    <row r="597" spans="2:22" ht="13.5" customHeight="1" outlineLevel="1">
      <c r="B597" s="273" t="str">
        <f>B1256</f>
        <v>Senior note</v>
      </c>
      <c r="C597" s="274"/>
      <c r="D597" s="274"/>
      <c r="E597" s="274"/>
      <c r="F597" s="274"/>
      <c r="G597" s="274"/>
      <c r="H597" s="274"/>
      <c r="I597" s="274"/>
      <c r="J597" s="274"/>
      <c r="K597" s="274"/>
      <c r="L597" s="274"/>
      <c r="M597" s="275"/>
      <c r="N597" s="275"/>
      <c r="O597" s="275"/>
      <c r="P597" s="275"/>
      <c r="Q597" s="275"/>
      <c r="R597" s="275"/>
      <c r="S597" s="275"/>
      <c r="T597" s="275"/>
      <c r="U597" s="275"/>
      <c r="V597" s="275"/>
    </row>
    <row r="598" spans="2:22" ht="13.5" customHeight="1" outlineLevel="1">
      <c r="B598" s="284" t="s">
        <v>123</v>
      </c>
      <c r="C598" s="223"/>
      <c r="D598" s="223"/>
      <c r="E598" s="223"/>
      <c r="F598" s="223"/>
      <c r="G598" s="223"/>
      <c r="H598" s="223"/>
      <c r="I598" s="223"/>
      <c r="J598" s="223"/>
      <c r="K598" s="223"/>
      <c r="L598" s="223"/>
      <c r="M598" s="282"/>
      <c r="N598" s="282"/>
      <c r="O598" s="282"/>
      <c r="P598" s="282"/>
      <c r="Q598" s="282"/>
      <c r="R598" s="282"/>
      <c r="S598" s="282"/>
      <c r="T598" s="282"/>
      <c r="U598" s="282"/>
      <c r="V598" s="282"/>
    </row>
    <row r="599" spans="2:22" ht="13.5" customHeight="1" outlineLevel="1">
      <c r="B599" s="223" t="s">
        <v>466</v>
      </c>
      <c r="C599" s="223"/>
      <c r="D599" s="223"/>
      <c r="E599" s="223"/>
      <c r="F599" s="223"/>
      <c r="G599" s="223"/>
      <c r="H599" s="223"/>
      <c r="I599" s="223"/>
      <c r="J599" s="223"/>
      <c r="K599" s="223"/>
      <c r="L599" s="223"/>
      <c r="M599" s="214">
        <f>L603</f>
        <v>100</v>
      </c>
      <c r="N599" s="214">
        <f ca="1">M603</f>
        <v>100</v>
      </c>
      <c r="O599" s="214">
        <f t="shared" ref="O599:V599" ca="1" si="560">N603</f>
        <v>100</v>
      </c>
      <c r="P599" s="214">
        <f t="shared" ca="1" si="560"/>
        <v>100</v>
      </c>
      <c r="Q599" s="214">
        <f t="shared" ca="1" si="560"/>
        <v>100</v>
      </c>
      <c r="R599" s="214">
        <f t="shared" ca="1" si="560"/>
        <v>100</v>
      </c>
      <c r="S599" s="214">
        <f t="shared" ca="1" si="560"/>
        <v>100</v>
      </c>
      <c r="T599" s="214">
        <f t="shared" ca="1" si="560"/>
        <v>100</v>
      </c>
      <c r="U599" s="214">
        <f t="shared" ca="1" si="560"/>
        <v>0</v>
      </c>
      <c r="V599" s="214">
        <f t="shared" ca="1" si="560"/>
        <v>0</v>
      </c>
    </row>
    <row r="600" spans="2:22" ht="13.5" customHeight="1" outlineLevel="1">
      <c r="B600" s="223" t="s">
        <v>697</v>
      </c>
      <c r="C600" s="223"/>
      <c r="D600" s="223"/>
      <c r="E600" s="223"/>
      <c r="F600" s="223"/>
      <c r="G600" s="223"/>
      <c r="H600" s="223"/>
      <c r="I600" s="223"/>
      <c r="J600" s="223"/>
      <c r="K600" s="223"/>
      <c r="L600" s="223"/>
      <c r="M600" s="218">
        <f t="shared" ref="M600:V600" si="561">M882*M865</f>
        <v>0</v>
      </c>
      <c r="N600" s="218">
        <f t="shared" ca="1" si="561"/>
        <v>0</v>
      </c>
      <c r="O600" s="218">
        <f t="shared" ca="1" si="561"/>
        <v>0</v>
      </c>
      <c r="P600" s="218">
        <f t="shared" ca="1" si="561"/>
        <v>0</v>
      </c>
      <c r="Q600" s="218">
        <f t="shared" ca="1" si="561"/>
        <v>0</v>
      </c>
      <c r="R600" s="218">
        <f t="shared" ca="1" si="561"/>
        <v>0</v>
      </c>
      <c r="S600" s="218">
        <f t="shared" ca="1" si="561"/>
        <v>0</v>
      </c>
      <c r="T600" s="218">
        <f t="shared" ca="1" si="561"/>
        <v>0</v>
      </c>
      <c r="U600" s="218">
        <f t="shared" ca="1" si="561"/>
        <v>0</v>
      </c>
      <c r="V600" s="218">
        <f t="shared" ca="1" si="561"/>
        <v>0</v>
      </c>
    </row>
    <row r="601" spans="2:22" ht="13.5" customHeight="1" outlineLevel="1">
      <c r="B601" s="223" t="s">
        <v>698</v>
      </c>
      <c r="C601" s="223"/>
      <c r="D601" s="223"/>
      <c r="E601" s="223"/>
      <c r="F601" s="223"/>
      <c r="G601" s="223"/>
      <c r="H601" s="223"/>
      <c r="I601" s="223"/>
      <c r="J601" s="223"/>
      <c r="K601" s="223"/>
      <c r="L601" s="223"/>
      <c r="M601" s="218">
        <f t="shared" ref="M601:V601" si="562">-MIN(M599,M436*$L603)</f>
        <v>0</v>
      </c>
      <c r="N601" s="218">
        <f t="shared" ca="1" si="562"/>
        <v>0</v>
      </c>
      <c r="O601" s="218">
        <f t="shared" ca="1" si="562"/>
        <v>0</v>
      </c>
      <c r="P601" s="218">
        <f t="shared" ca="1" si="562"/>
        <v>0</v>
      </c>
      <c r="Q601" s="218">
        <f t="shared" ca="1" si="562"/>
        <v>0</v>
      </c>
      <c r="R601" s="218">
        <f t="shared" ca="1" si="562"/>
        <v>0</v>
      </c>
      <c r="S601" s="218">
        <f t="shared" ca="1" si="562"/>
        <v>0</v>
      </c>
      <c r="T601" s="218">
        <f t="shared" ca="1" si="562"/>
        <v>-100</v>
      </c>
      <c r="U601" s="218">
        <f t="shared" ca="1" si="562"/>
        <v>0</v>
      </c>
      <c r="V601" s="218">
        <f t="shared" ca="1" si="562"/>
        <v>0</v>
      </c>
    </row>
    <row r="602" spans="2:22" ht="13.5" customHeight="1" outlineLevel="1">
      <c r="B602" s="223" t="s">
        <v>699</v>
      </c>
      <c r="C602" s="223"/>
      <c r="D602" s="223"/>
      <c r="E602" s="223"/>
      <c r="F602" s="223"/>
      <c r="G602" s="223"/>
      <c r="H602" s="223"/>
      <c r="I602" s="223"/>
      <c r="J602" s="223"/>
      <c r="K602" s="223"/>
      <c r="L602" s="223"/>
      <c r="M602" s="218">
        <f t="shared" ref="M602:V602" ca="1" si="563">M483</f>
        <v>0</v>
      </c>
      <c r="N602" s="218">
        <f t="shared" ca="1" si="563"/>
        <v>0</v>
      </c>
      <c r="O602" s="218">
        <f t="shared" ca="1" si="563"/>
        <v>0</v>
      </c>
      <c r="P602" s="218">
        <f t="shared" ca="1" si="563"/>
        <v>0</v>
      </c>
      <c r="Q602" s="218">
        <f t="shared" ca="1" si="563"/>
        <v>0</v>
      </c>
      <c r="R602" s="218">
        <f t="shared" ca="1" si="563"/>
        <v>0</v>
      </c>
      <c r="S602" s="218">
        <f t="shared" ca="1" si="563"/>
        <v>0</v>
      </c>
      <c r="T602" s="218">
        <f t="shared" ca="1" si="563"/>
        <v>0</v>
      </c>
      <c r="U602" s="218">
        <f t="shared" ca="1" si="563"/>
        <v>0</v>
      </c>
      <c r="V602" s="218">
        <f t="shared" ca="1" si="563"/>
        <v>0</v>
      </c>
    </row>
    <row r="603" spans="2:22" ht="13.5" customHeight="1" outlineLevel="1">
      <c r="B603" s="279" t="s">
        <v>467</v>
      </c>
      <c r="C603" s="279"/>
      <c r="D603" s="279"/>
      <c r="E603" s="279"/>
      <c r="F603" s="279"/>
      <c r="G603" s="279"/>
      <c r="H603" s="279"/>
      <c r="I603" s="279"/>
      <c r="J603" s="279"/>
      <c r="K603" s="279"/>
      <c r="L603" s="280">
        <f>M1256</f>
        <v>100</v>
      </c>
      <c r="M603" s="286">
        <f ca="1">SUM(M599:M602)</f>
        <v>100</v>
      </c>
      <c r="N603" s="286">
        <f t="shared" ref="N603" ca="1" si="564">SUM(N599:N602)</f>
        <v>100</v>
      </c>
      <c r="O603" s="286">
        <f t="shared" ref="O603" ca="1" si="565">SUM(O599:O602)</f>
        <v>100</v>
      </c>
      <c r="P603" s="286">
        <f t="shared" ref="P603" ca="1" si="566">SUM(P599:P602)</f>
        <v>100</v>
      </c>
      <c r="Q603" s="286">
        <f t="shared" ref="Q603" ca="1" si="567">SUM(Q599:Q602)</f>
        <v>100</v>
      </c>
      <c r="R603" s="286">
        <f t="shared" ref="R603" ca="1" si="568">SUM(R599:R602)</f>
        <v>100</v>
      </c>
      <c r="S603" s="286">
        <f t="shared" ref="S603" ca="1" si="569">SUM(S599:S602)</f>
        <v>100</v>
      </c>
      <c r="T603" s="286">
        <f t="shared" ref="T603" ca="1" si="570">SUM(T599:T602)</f>
        <v>0</v>
      </c>
      <c r="U603" s="286">
        <f t="shared" ref="U603" ca="1" si="571">SUM(U599:U602)</f>
        <v>0</v>
      </c>
      <c r="V603" s="286">
        <f t="shared" ref="V603" ca="1" si="572">SUM(V599:V602)</f>
        <v>0</v>
      </c>
    </row>
    <row r="604" spans="2:22" ht="13.5" customHeight="1" outlineLevel="1">
      <c r="B604" s="223"/>
      <c r="C604" s="223"/>
      <c r="D604" s="223"/>
      <c r="E604" s="223"/>
      <c r="F604" s="223"/>
      <c r="G604" s="223"/>
      <c r="H604" s="223"/>
      <c r="I604" s="223"/>
      <c r="J604" s="223"/>
      <c r="K604" s="223"/>
      <c r="L604" s="223"/>
      <c r="M604" s="282"/>
      <c r="N604" s="282"/>
      <c r="O604" s="282"/>
      <c r="P604" s="282"/>
      <c r="Q604" s="282"/>
      <c r="R604" s="282"/>
      <c r="S604" s="282"/>
      <c r="T604" s="282"/>
      <c r="U604" s="282"/>
      <c r="V604" s="282"/>
    </row>
    <row r="605" spans="2:22" ht="13.5" customHeight="1" outlineLevel="1">
      <c r="B605" s="284" t="s">
        <v>700</v>
      </c>
      <c r="C605" s="223"/>
      <c r="D605" s="223"/>
      <c r="E605" s="223"/>
      <c r="F605" s="223"/>
      <c r="G605" s="223"/>
      <c r="H605" s="223"/>
      <c r="I605" s="223"/>
      <c r="J605" s="223"/>
      <c r="K605" s="223"/>
      <c r="L605" s="223"/>
      <c r="M605" s="282"/>
      <c r="N605" s="282"/>
      <c r="O605" s="282"/>
      <c r="P605" s="282"/>
      <c r="Q605" s="282"/>
      <c r="R605" s="282"/>
      <c r="S605" s="282"/>
      <c r="T605" s="282"/>
      <c r="U605" s="282"/>
      <c r="V605" s="282"/>
    </row>
    <row r="606" spans="2:22" ht="13.5" customHeight="1" outlineLevel="1">
      <c r="B606" s="223" t="s">
        <v>466</v>
      </c>
      <c r="C606" s="223"/>
      <c r="D606" s="223"/>
      <c r="E606" s="223"/>
      <c r="F606" s="223"/>
      <c r="G606" s="223"/>
      <c r="H606" s="223"/>
      <c r="I606" s="223"/>
      <c r="J606" s="223"/>
      <c r="K606" s="223"/>
      <c r="L606" s="223"/>
      <c r="M606" s="214">
        <f>L612</f>
        <v>95</v>
      </c>
      <c r="N606" s="214">
        <f ca="1">M612</f>
        <v>95.9375</v>
      </c>
      <c r="O606" s="214">
        <f t="shared" ref="O606:V606" ca="1" si="573">N612</f>
        <v>97.1875</v>
      </c>
      <c r="P606" s="214">
        <f t="shared" ca="1" si="573"/>
        <v>98.4375</v>
      </c>
      <c r="Q606" s="214">
        <f t="shared" ca="1" si="573"/>
        <v>99.6875</v>
      </c>
      <c r="R606" s="214">
        <f t="shared" ca="1" si="573"/>
        <v>100</v>
      </c>
      <c r="S606" s="214">
        <f t="shared" ca="1" si="573"/>
        <v>100</v>
      </c>
      <c r="T606" s="214">
        <f t="shared" ca="1" si="573"/>
        <v>100</v>
      </c>
      <c r="U606" s="214">
        <f t="shared" ca="1" si="573"/>
        <v>0</v>
      </c>
      <c r="V606" s="214">
        <f t="shared" ca="1" si="573"/>
        <v>0</v>
      </c>
    </row>
    <row r="607" spans="2:22" ht="13.5" customHeight="1" outlineLevel="1">
      <c r="B607" s="223" t="s">
        <v>701</v>
      </c>
      <c r="C607" s="223"/>
      <c r="D607" s="223"/>
      <c r="E607" s="223"/>
      <c r="F607" s="223"/>
      <c r="G607" s="223"/>
      <c r="H607" s="223"/>
      <c r="I607" s="223"/>
      <c r="J607" s="223"/>
      <c r="K607" s="223"/>
      <c r="L607" s="223"/>
      <c r="M607" s="218">
        <f>-M616</f>
        <v>0.9375</v>
      </c>
      <c r="N607" s="218">
        <f t="shared" ref="N607:V607" ca="1" si="574">-N616</f>
        <v>1.25</v>
      </c>
      <c r="O607" s="218">
        <f t="shared" ca="1" si="574"/>
        <v>1.25</v>
      </c>
      <c r="P607" s="218">
        <f t="shared" ca="1" si="574"/>
        <v>1.25</v>
      </c>
      <c r="Q607" s="218">
        <f t="shared" ca="1" si="574"/>
        <v>0.3125</v>
      </c>
      <c r="R607" s="218">
        <f t="shared" ca="1" si="574"/>
        <v>0</v>
      </c>
      <c r="S607" s="218">
        <f t="shared" ca="1" si="574"/>
        <v>0</v>
      </c>
      <c r="T607" s="218">
        <f t="shared" ca="1" si="574"/>
        <v>0</v>
      </c>
      <c r="U607" s="218">
        <f t="shared" ca="1" si="574"/>
        <v>0</v>
      </c>
      <c r="V607" s="218">
        <f t="shared" ca="1" si="574"/>
        <v>0</v>
      </c>
    </row>
    <row r="608" spans="2:22" ht="13.5" customHeight="1" outlineLevel="1">
      <c r="B608" s="223" t="s">
        <v>697</v>
      </c>
      <c r="C608" s="223"/>
      <c r="D608" s="223"/>
      <c r="E608" s="223"/>
      <c r="F608" s="223"/>
      <c r="G608" s="223"/>
      <c r="H608" s="223"/>
      <c r="I608" s="223"/>
      <c r="J608" s="223"/>
      <c r="K608" s="223"/>
      <c r="L608" s="223"/>
      <c r="M608" s="218">
        <f>M600</f>
        <v>0</v>
      </c>
      <c r="N608" s="218">
        <f t="shared" ref="N608:V608" ca="1" si="575">N600</f>
        <v>0</v>
      </c>
      <c r="O608" s="218">
        <f t="shared" ca="1" si="575"/>
        <v>0</v>
      </c>
      <c r="P608" s="218">
        <f t="shared" ca="1" si="575"/>
        <v>0</v>
      </c>
      <c r="Q608" s="218">
        <f t="shared" ca="1" si="575"/>
        <v>0</v>
      </c>
      <c r="R608" s="218">
        <f t="shared" ca="1" si="575"/>
        <v>0</v>
      </c>
      <c r="S608" s="218">
        <f t="shared" ca="1" si="575"/>
        <v>0</v>
      </c>
      <c r="T608" s="218">
        <f t="shared" ca="1" si="575"/>
        <v>0</v>
      </c>
      <c r="U608" s="218">
        <f t="shared" ca="1" si="575"/>
        <v>0</v>
      </c>
      <c r="V608" s="218">
        <f t="shared" ca="1" si="575"/>
        <v>0</v>
      </c>
    </row>
    <row r="609" spans="2:22" ht="13.5" customHeight="1" outlineLevel="1">
      <c r="B609" s="223" t="s">
        <v>698</v>
      </c>
      <c r="C609" s="223"/>
      <c r="D609" s="223"/>
      <c r="E609" s="223"/>
      <c r="F609" s="223"/>
      <c r="G609" s="223"/>
      <c r="H609" s="223"/>
      <c r="I609" s="223"/>
      <c r="J609" s="223"/>
      <c r="K609" s="223"/>
      <c r="L609" s="223"/>
      <c r="M609" s="218">
        <f>M601</f>
        <v>0</v>
      </c>
      <c r="N609" s="218">
        <f ca="1">N601</f>
        <v>0</v>
      </c>
      <c r="O609" s="218">
        <f t="shared" ref="O609:V609" ca="1" si="576">O601</f>
        <v>0</v>
      </c>
      <c r="P609" s="218">
        <f t="shared" ca="1" si="576"/>
        <v>0</v>
      </c>
      <c r="Q609" s="218">
        <f t="shared" ca="1" si="576"/>
        <v>0</v>
      </c>
      <c r="R609" s="218">
        <f t="shared" ca="1" si="576"/>
        <v>0</v>
      </c>
      <c r="S609" s="218">
        <f t="shared" ca="1" si="576"/>
        <v>0</v>
      </c>
      <c r="T609" s="218">
        <f t="shared" ca="1" si="576"/>
        <v>-100</v>
      </c>
      <c r="U609" s="218">
        <f t="shared" ca="1" si="576"/>
        <v>0</v>
      </c>
      <c r="V609" s="218">
        <f t="shared" ca="1" si="576"/>
        <v>0</v>
      </c>
    </row>
    <row r="610" spans="2:22" ht="13.5" customHeight="1" outlineLevel="1">
      <c r="B610" s="223" t="s">
        <v>699</v>
      </c>
      <c r="C610" s="223"/>
      <c r="D610" s="223"/>
      <c r="E610" s="223"/>
      <c r="F610" s="223"/>
      <c r="G610" s="223"/>
      <c r="H610" s="223"/>
      <c r="I610" s="223"/>
      <c r="J610" s="223"/>
      <c r="K610" s="223"/>
      <c r="L610" s="223"/>
      <c r="M610" s="218">
        <f ca="1">M602</f>
        <v>0</v>
      </c>
      <c r="N610" s="218">
        <f t="shared" ref="N610:V610" ca="1" si="577">N602</f>
        <v>0</v>
      </c>
      <c r="O610" s="218">
        <f t="shared" ca="1" si="577"/>
        <v>0</v>
      </c>
      <c r="P610" s="218">
        <f t="shared" ca="1" si="577"/>
        <v>0</v>
      </c>
      <c r="Q610" s="218">
        <f t="shared" ca="1" si="577"/>
        <v>0</v>
      </c>
      <c r="R610" s="218">
        <f t="shared" ca="1" si="577"/>
        <v>0</v>
      </c>
      <c r="S610" s="218">
        <f t="shared" ca="1" si="577"/>
        <v>0</v>
      </c>
      <c r="T610" s="218">
        <f t="shared" ca="1" si="577"/>
        <v>0</v>
      </c>
      <c r="U610" s="218">
        <f t="shared" ca="1" si="577"/>
        <v>0</v>
      </c>
      <c r="V610" s="218">
        <f t="shared" ca="1" si="577"/>
        <v>0</v>
      </c>
    </row>
    <row r="611" spans="2:22" ht="13.5" customHeight="1" outlineLevel="1">
      <c r="B611" s="223" t="s">
        <v>702</v>
      </c>
      <c r="C611" s="223"/>
      <c r="D611" s="223"/>
      <c r="E611" s="223"/>
      <c r="F611" s="223"/>
      <c r="G611" s="223"/>
      <c r="H611" s="223"/>
      <c r="I611" s="223"/>
      <c r="J611" s="223"/>
      <c r="K611" s="223"/>
      <c r="L611" s="223"/>
      <c r="M611" s="218">
        <f ca="1">-M617</f>
        <v>0</v>
      </c>
      <c r="N611" s="218">
        <f t="shared" ref="N611:V611" ca="1" si="578">-N617</f>
        <v>0</v>
      </c>
      <c r="O611" s="218">
        <f t="shared" ca="1" si="578"/>
        <v>0</v>
      </c>
      <c r="P611" s="218">
        <f t="shared" ca="1" si="578"/>
        <v>0</v>
      </c>
      <c r="Q611" s="218">
        <f t="shared" ca="1" si="578"/>
        <v>0</v>
      </c>
      <c r="R611" s="218">
        <f t="shared" ca="1" si="578"/>
        <v>0</v>
      </c>
      <c r="S611" s="218">
        <f t="shared" ca="1" si="578"/>
        <v>0</v>
      </c>
      <c r="T611" s="218">
        <f t="shared" ca="1" si="578"/>
        <v>0</v>
      </c>
      <c r="U611" s="218">
        <f t="shared" ca="1" si="578"/>
        <v>0</v>
      </c>
      <c r="V611" s="218">
        <f t="shared" ca="1" si="578"/>
        <v>0</v>
      </c>
    </row>
    <row r="612" spans="2:22" ht="13.5" customHeight="1" outlineLevel="1">
      <c r="B612" s="279" t="s">
        <v>467</v>
      </c>
      <c r="C612" s="279"/>
      <c r="D612" s="279"/>
      <c r="E612" s="279"/>
      <c r="F612" s="279"/>
      <c r="G612" s="279"/>
      <c r="H612" s="279"/>
      <c r="I612" s="279"/>
      <c r="J612" s="279"/>
      <c r="K612" s="279"/>
      <c r="L612" s="280">
        <f>L603*(1-$O1304)</f>
        <v>95</v>
      </c>
      <c r="M612" s="286">
        <f ca="1">SUM(M606:M611)</f>
        <v>95.9375</v>
      </c>
      <c r="N612" s="286">
        <f t="shared" ref="N612" ca="1" si="579">SUM(N606:N611)</f>
        <v>97.1875</v>
      </c>
      <c r="O612" s="286">
        <f t="shared" ref="O612" ca="1" si="580">SUM(O606:O611)</f>
        <v>98.4375</v>
      </c>
      <c r="P612" s="286">
        <f t="shared" ref="P612" ca="1" si="581">SUM(P606:P611)</f>
        <v>99.6875</v>
      </c>
      <c r="Q612" s="286">
        <f t="shared" ref="Q612" ca="1" si="582">SUM(Q606:Q611)</f>
        <v>100</v>
      </c>
      <c r="R612" s="286">
        <f t="shared" ref="R612" ca="1" si="583">SUM(R606:R611)</f>
        <v>100</v>
      </c>
      <c r="S612" s="286">
        <f t="shared" ref="S612" ca="1" si="584">SUM(S606:S611)</f>
        <v>100</v>
      </c>
      <c r="T612" s="286">
        <f t="shared" ref="T612" ca="1" si="585">SUM(T606:T611)</f>
        <v>0</v>
      </c>
      <c r="U612" s="286">
        <f t="shared" ref="U612" ca="1" si="586">SUM(U606:U611)</f>
        <v>0</v>
      </c>
      <c r="V612" s="286">
        <f t="shared" ref="V612" ca="1" si="587">SUM(V606:V611)</f>
        <v>0</v>
      </c>
    </row>
    <row r="613" spans="2:22" ht="13.5" customHeight="1" outlineLevel="1">
      <c r="B613" s="223"/>
      <c r="C613" s="223"/>
      <c r="D613" s="223"/>
      <c r="E613" s="223"/>
      <c r="F613" s="223"/>
      <c r="G613" s="223"/>
      <c r="H613" s="223"/>
      <c r="I613" s="223"/>
      <c r="J613" s="223"/>
      <c r="K613" s="223"/>
      <c r="L613" s="223"/>
      <c r="M613" s="282"/>
      <c r="N613" s="282"/>
      <c r="O613" s="282"/>
      <c r="P613" s="282"/>
      <c r="Q613" s="282"/>
      <c r="R613" s="282"/>
      <c r="S613" s="282"/>
      <c r="T613" s="282"/>
      <c r="U613" s="282"/>
      <c r="V613" s="282"/>
    </row>
    <row r="614" spans="2:22" ht="13.5" customHeight="1" outlineLevel="1">
      <c r="B614" s="284" t="s">
        <v>703</v>
      </c>
      <c r="C614" s="223"/>
      <c r="D614" s="223"/>
      <c r="E614" s="223"/>
      <c r="F614" s="223"/>
      <c r="G614" s="223"/>
      <c r="H614" s="223"/>
      <c r="I614" s="223"/>
      <c r="J614" s="223"/>
      <c r="K614" s="223"/>
      <c r="L614" s="223"/>
      <c r="M614" s="282"/>
      <c r="N614" s="282"/>
      <c r="O614" s="282"/>
      <c r="P614" s="282"/>
      <c r="Q614" s="282"/>
      <c r="R614" s="282"/>
      <c r="S614" s="282"/>
      <c r="T614" s="282"/>
      <c r="U614" s="282"/>
      <c r="V614" s="282"/>
    </row>
    <row r="615" spans="2:22" ht="13.5" customHeight="1" outlineLevel="1">
      <c r="B615" s="223" t="s">
        <v>466</v>
      </c>
      <c r="C615" s="223"/>
      <c r="D615" s="223"/>
      <c r="E615" s="223"/>
      <c r="F615" s="223"/>
      <c r="G615" s="223"/>
      <c r="H615" s="223"/>
      <c r="I615" s="223"/>
      <c r="J615" s="223"/>
      <c r="K615" s="223"/>
      <c r="L615" s="223"/>
      <c r="M615" s="214">
        <f>L618</f>
        <v>5</v>
      </c>
      <c r="N615" s="214">
        <f ca="1">M618</f>
        <v>4.0625</v>
      </c>
      <c r="O615" s="214">
        <f t="shared" ref="O615:V615" ca="1" si="588">N618</f>
        <v>2.8125</v>
      </c>
      <c r="P615" s="214">
        <f t="shared" ca="1" si="588"/>
        <v>1.5625</v>
      </c>
      <c r="Q615" s="214">
        <f t="shared" ca="1" si="588"/>
        <v>0.3125</v>
      </c>
      <c r="R615" s="214">
        <f t="shared" ca="1" si="588"/>
        <v>0</v>
      </c>
      <c r="S615" s="214">
        <f t="shared" ca="1" si="588"/>
        <v>0</v>
      </c>
      <c r="T615" s="214">
        <f t="shared" ca="1" si="588"/>
        <v>0</v>
      </c>
      <c r="U615" s="214">
        <f t="shared" ca="1" si="588"/>
        <v>0</v>
      </c>
      <c r="V615" s="214">
        <f t="shared" ca="1" si="588"/>
        <v>0</v>
      </c>
    </row>
    <row r="616" spans="2:22" ht="13.5" customHeight="1" outlineLevel="1">
      <c r="B616" s="223" t="s">
        <v>704</v>
      </c>
      <c r="C616" s="223"/>
      <c r="D616" s="223"/>
      <c r="E616" s="223"/>
      <c r="F616" s="223"/>
      <c r="G616" s="223"/>
      <c r="H616" s="223"/>
      <c r="I616" s="223"/>
      <c r="J616" s="223"/>
      <c r="K616" s="223"/>
      <c r="L616" s="223"/>
      <c r="M616" s="218">
        <f t="shared" ref="M616:V616" si="589">IFERROR(-MIN(M615/L449*M$148,M615),0)</f>
        <v>-0.9375</v>
      </c>
      <c r="N616" s="218">
        <f t="shared" ca="1" si="589"/>
        <v>-1.25</v>
      </c>
      <c r="O616" s="218">
        <f t="shared" ca="1" si="589"/>
        <v>-1.25</v>
      </c>
      <c r="P616" s="218">
        <f t="shared" ca="1" si="589"/>
        <v>-1.25</v>
      </c>
      <c r="Q616" s="218">
        <f t="shared" ca="1" si="589"/>
        <v>-0.3125</v>
      </c>
      <c r="R616" s="218">
        <f t="shared" ca="1" si="589"/>
        <v>0</v>
      </c>
      <c r="S616" s="218">
        <f t="shared" ca="1" si="589"/>
        <v>0</v>
      </c>
      <c r="T616" s="218">
        <f t="shared" ca="1" si="589"/>
        <v>0</v>
      </c>
      <c r="U616" s="218">
        <f t="shared" ca="1" si="589"/>
        <v>0</v>
      </c>
      <c r="V616" s="218">
        <f t="shared" ca="1" si="589"/>
        <v>0</v>
      </c>
    </row>
    <row r="617" spans="2:22" ht="13.5" customHeight="1" outlineLevel="1">
      <c r="B617" s="223" t="s">
        <v>448</v>
      </c>
      <c r="C617" s="223"/>
      <c r="D617" s="223"/>
      <c r="E617" s="223"/>
      <c r="F617" s="223"/>
      <c r="G617" s="223"/>
      <c r="H617" s="223"/>
      <c r="I617" s="223"/>
      <c r="J617" s="223"/>
      <c r="K617" s="223"/>
      <c r="L617" s="223"/>
      <c r="M617" s="218">
        <f ca="1">IFERROR(SUM(M615:M616)*SUM(M601:M602)/L603,0)</f>
        <v>0</v>
      </c>
      <c r="N617" s="218">
        <f t="shared" ref="N617" ca="1" si="590">IFERROR(SUM(N615:N616)*SUM(N601:N602)/M603,0)</f>
        <v>0</v>
      </c>
      <c r="O617" s="218">
        <f t="shared" ref="O617" ca="1" si="591">IFERROR(SUM(O615:O616)*SUM(O601:O602)/N603,0)</f>
        <v>0</v>
      </c>
      <c r="P617" s="218">
        <f t="shared" ref="P617" ca="1" si="592">IFERROR(SUM(P615:P616)*SUM(P601:P602)/O603,0)</f>
        <v>0</v>
      </c>
      <c r="Q617" s="218">
        <f t="shared" ref="Q617" ca="1" si="593">IFERROR(SUM(Q615:Q616)*SUM(Q601:Q602)/P603,0)</f>
        <v>0</v>
      </c>
      <c r="R617" s="218">
        <f t="shared" ref="R617" ca="1" si="594">IFERROR(SUM(R615:R616)*SUM(R601:R602)/Q603,0)</f>
        <v>0</v>
      </c>
      <c r="S617" s="218">
        <f t="shared" ref="S617" ca="1" si="595">IFERROR(SUM(S615:S616)*SUM(S601:S602)/R603,0)</f>
        <v>0</v>
      </c>
      <c r="T617" s="218">
        <f t="shared" ref="T617" ca="1" si="596">IFERROR(SUM(T615:T616)*SUM(T601:T602)/S603,0)</f>
        <v>0</v>
      </c>
      <c r="U617" s="218">
        <f t="shared" ref="U617" ca="1" si="597">IFERROR(SUM(U615:U616)*SUM(U601:U602)/T603,0)</f>
        <v>0</v>
      </c>
      <c r="V617" s="218">
        <f t="shared" ref="V617" ca="1" si="598">IFERROR(SUM(V615:V616)*SUM(V601:V602)/U603,0)</f>
        <v>0</v>
      </c>
    </row>
    <row r="618" spans="2:22" ht="13.5" customHeight="1" outlineLevel="1">
      <c r="B618" s="279" t="s">
        <v>467</v>
      </c>
      <c r="C618" s="279"/>
      <c r="D618" s="279"/>
      <c r="E618" s="279"/>
      <c r="F618" s="279"/>
      <c r="G618" s="279"/>
      <c r="H618" s="279"/>
      <c r="I618" s="279"/>
      <c r="J618" s="279"/>
      <c r="K618" s="279"/>
      <c r="L618" s="280">
        <f>M1256*O1304</f>
        <v>5</v>
      </c>
      <c r="M618" s="286">
        <f ca="1">SUM(M615:M617)</f>
        <v>4.0625</v>
      </c>
      <c r="N618" s="286">
        <f ca="1">SUM(N615:N617)</f>
        <v>2.8125</v>
      </c>
      <c r="O618" s="286">
        <f t="shared" ref="O618" ca="1" si="599">SUM(O615:O617)</f>
        <v>1.5625</v>
      </c>
      <c r="P618" s="286">
        <f t="shared" ref="P618" ca="1" si="600">SUM(P615:P617)</f>
        <v>0.3125</v>
      </c>
      <c r="Q618" s="286">
        <f t="shared" ref="Q618" ca="1" si="601">SUM(Q615:Q617)</f>
        <v>0</v>
      </c>
      <c r="R618" s="286">
        <f t="shared" ref="R618" ca="1" si="602">SUM(R615:R617)</f>
        <v>0</v>
      </c>
      <c r="S618" s="286">
        <f t="shared" ref="S618" ca="1" si="603">SUM(S615:S617)</f>
        <v>0</v>
      </c>
      <c r="T618" s="286">
        <f t="shared" ref="T618" ca="1" si="604">SUM(T615:T617)</f>
        <v>0</v>
      </c>
      <c r="U618" s="286">
        <f t="shared" ref="U618" ca="1" si="605">SUM(U615:U617)</f>
        <v>0</v>
      </c>
      <c r="V618" s="286">
        <f t="shared" ref="V618" ca="1" si="606">SUM(V615:V617)</f>
        <v>0</v>
      </c>
    </row>
    <row r="619" spans="2:22" ht="13.5" customHeight="1" outlineLevel="1">
      <c r="B619" s="223"/>
      <c r="C619" s="223"/>
      <c r="D619" s="223"/>
      <c r="E619" s="223"/>
      <c r="F619" s="223"/>
      <c r="G619" s="223"/>
      <c r="H619" s="223"/>
      <c r="I619" s="223"/>
      <c r="J619" s="223"/>
      <c r="K619" s="223"/>
      <c r="L619" s="283"/>
      <c r="M619" s="285"/>
      <c r="N619" s="285"/>
      <c r="O619" s="285"/>
      <c r="P619" s="285"/>
      <c r="Q619" s="285"/>
      <c r="R619" s="285"/>
      <c r="S619" s="285"/>
      <c r="T619" s="285"/>
      <c r="U619" s="285"/>
      <c r="V619" s="285"/>
    </row>
    <row r="620" spans="2:22" ht="13.5" customHeight="1" outlineLevel="1">
      <c r="B620" s="284" t="s">
        <v>147</v>
      </c>
      <c r="C620" s="223"/>
      <c r="D620" s="223"/>
      <c r="E620" s="223"/>
      <c r="F620" s="223"/>
      <c r="G620" s="223"/>
      <c r="H620" s="223"/>
      <c r="I620" s="223"/>
      <c r="J620" s="223"/>
      <c r="K620" s="223"/>
      <c r="L620" s="283"/>
      <c r="M620" s="285"/>
      <c r="N620" s="285"/>
      <c r="O620" s="285"/>
      <c r="P620" s="285"/>
      <c r="Q620" s="285"/>
      <c r="R620" s="285"/>
      <c r="S620" s="285"/>
      <c r="T620" s="285"/>
      <c r="U620" s="285"/>
      <c r="V620" s="285"/>
    </row>
    <row r="621" spans="2:22" ht="13.5" customHeight="1" outlineLevel="1">
      <c r="B621" s="223" t="s">
        <v>714</v>
      </c>
      <c r="C621" s="223"/>
      <c r="D621" s="223"/>
      <c r="E621" s="223"/>
      <c r="F621" s="223"/>
      <c r="G621" s="223"/>
      <c r="H621" s="223"/>
      <c r="I621" s="223"/>
      <c r="J621" s="223"/>
      <c r="K621" s="223"/>
      <c r="L621" s="283"/>
      <c r="M621" s="285">
        <f t="shared" ref="M621:V621" si="607">M852*IF(avg_int,AVERAGE(M599,M603),M599)*M$148</f>
        <v>6.9599999999999991</v>
      </c>
      <c r="N621" s="285">
        <f t="shared" ca="1" si="607"/>
        <v>9.7155500000000004</v>
      </c>
      <c r="O621" s="285">
        <f t="shared" ca="1" si="607"/>
        <v>10.239725</v>
      </c>
      <c r="P621" s="285">
        <f t="shared" ca="1" si="607"/>
        <v>10.660400000000001</v>
      </c>
      <c r="Q621" s="285">
        <f t="shared" ca="1" si="607"/>
        <v>11.073675000000001</v>
      </c>
      <c r="R621" s="285">
        <f t="shared" ca="1" si="607"/>
        <v>11.3315</v>
      </c>
      <c r="S621" s="285">
        <f t="shared" ca="1" si="607"/>
        <v>11.480550000000001</v>
      </c>
      <c r="T621" s="285">
        <f t="shared" ca="1" si="607"/>
        <v>11.612350000000001</v>
      </c>
      <c r="U621" s="285">
        <f t="shared" ca="1" si="607"/>
        <v>0</v>
      </c>
      <c r="V621" s="285">
        <f t="shared" ca="1" si="607"/>
        <v>0</v>
      </c>
    </row>
    <row r="622" spans="2:22" ht="13.5" customHeight="1" outlineLevel="1">
      <c r="B622" s="223" t="s">
        <v>701</v>
      </c>
      <c r="C622" s="223"/>
      <c r="D622" s="223"/>
      <c r="E622" s="223"/>
      <c r="F622" s="223"/>
      <c r="G622" s="223"/>
      <c r="H622" s="223"/>
      <c r="I622" s="223"/>
      <c r="J622" s="223"/>
      <c r="K622" s="223"/>
      <c r="L622" s="283"/>
      <c r="M622" s="218">
        <f>-M616</f>
        <v>0.9375</v>
      </c>
      <c r="N622" s="218">
        <f t="shared" ref="N622:V622" ca="1" si="608">-N616</f>
        <v>1.25</v>
      </c>
      <c r="O622" s="218">
        <f t="shared" ca="1" si="608"/>
        <v>1.25</v>
      </c>
      <c r="P622" s="218">
        <f t="shared" ca="1" si="608"/>
        <v>1.25</v>
      </c>
      <c r="Q622" s="218">
        <f t="shared" ca="1" si="608"/>
        <v>0.3125</v>
      </c>
      <c r="R622" s="218">
        <f t="shared" ca="1" si="608"/>
        <v>0</v>
      </c>
      <c r="S622" s="218">
        <f t="shared" ca="1" si="608"/>
        <v>0</v>
      </c>
      <c r="T622" s="218">
        <f t="shared" ca="1" si="608"/>
        <v>0</v>
      </c>
      <c r="U622" s="218">
        <f t="shared" ca="1" si="608"/>
        <v>0</v>
      </c>
      <c r="V622" s="218">
        <f t="shared" ca="1" si="608"/>
        <v>0</v>
      </c>
    </row>
    <row r="623" spans="2:22" ht="13.5" customHeight="1" outlineLevel="1">
      <c r="B623" s="279" t="s">
        <v>715</v>
      </c>
      <c r="C623" s="279"/>
      <c r="D623" s="279"/>
      <c r="E623" s="279"/>
      <c r="F623" s="279"/>
      <c r="G623" s="279"/>
      <c r="H623" s="279"/>
      <c r="I623" s="279"/>
      <c r="J623" s="279"/>
      <c r="K623" s="279"/>
      <c r="L623" s="280"/>
      <c r="M623" s="286">
        <f>SUM(M621:M622)</f>
        <v>7.8974999999999991</v>
      </c>
      <c r="N623" s="286">
        <f t="shared" ref="N623" ca="1" si="609">SUM(N621:N622)</f>
        <v>10.96555</v>
      </c>
      <c r="O623" s="286">
        <f t="shared" ref="O623" ca="1" si="610">SUM(O621:O622)</f>
        <v>11.489725</v>
      </c>
      <c r="P623" s="286">
        <f t="shared" ref="P623" ca="1" si="611">SUM(P621:P622)</f>
        <v>11.910400000000001</v>
      </c>
      <c r="Q623" s="286">
        <f t="shared" ref="Q623" ca="1" si="612">SUM(Q621:Q622)</f>
        <v>11.386175000000001</v>
      </c>
      <c r="R623" s="286">
        <f t="shared" ref="R623" ca="1" si="613">SUM(R621:R622)</f>
        <v>11.3315</v>
      </c>
      <c r="S623" s="286">
        <f t="shared" ref="S623" ca="1" si="614">SUM(S621:S622)</f>
        <v>11.480550000000001</v>
      </c>
      <c r="T623" s="286">
        <f t="shared" ref="T623" ca="1" si="615">SUM(T621:T622)</f>
        <v>11.612350000000001</v>
      </c>
      <c r="U623" s="286">
        <f t="shared" ref="U623" ca="1" si="616">SUM(U621:U622)</f>
        <v>0</v>
      </c>
      <c r="V623" s="286">
        <f t="shared" ref="V623" ca="1" si="617">SUM(V621:V622)</f>
        <v>0</v>
      </c>
    </row>
    <row r="624" spans="2:22" ht="5.0999999999999996" customHeight="1" outlineLevel="1" thickBot="1">
      <c r="B624" s="152"/>
      <c r="C624" s="152"/>
      <c r="D624" s="152"/>
      <c r="E624" s="152"/>
      <c r="F624" s="152"/>
      <c r="G624" s="152"/>
      <c r="H624" s="152"/>
      <c r="I624" s="152"/>
      <c r="J624" s="152"/>
      <c r="K624" s="152"/>
      <c r="L624" s="152"/>
      <c r="M624" s="287"/>
      <c r="N624" s="287"/>
      <c r="O624" s="287"/>
      <c r="P624" s="287"/>
      <c r="Q624" s="287"/>
      <c r="R624" s="287"/>
      <c r="S624" s="287"/>
      <c r="T624" s="287"/>
      <c r="U624" s="287"/>
      <c r="V624" s="287"/>
    </row>
    <row r="625" spans="2:22" ht="13.5" customHeight="1" outlineLevel="1">
      <c r="M625" s="190"/>
      <c r="N625" s="190"/>
      <c r="O625" s="190"/>
      <c r="P625" s="190"/>
      <c r="Q625" s="190"/>
      <c r="R625" s="190"/>
      <c r="S625" s="190"/>
      <c r="T625" s="190"/>
      <c r="U625" s="190"/>
      <c r="V625" s="190"/>
    </row>
    <row r="626" spans="2:22" ht="13.5" customHeight="1" outlineLevel="1">
      <c r="B626" s="273" t="str">
        <f>B1257</f>
        <v>Subordinated note</v>
      </c>
      <c r="C626" s="274"/>
      <c r="D626" s="274"/>
      <c r="E626" s="274"/>
      <c r="F626" s="274"/>
      <c r="G626" s="274"/>
      <c r="H626" s="274"/>
      <c r="I626" s="274"/>
      <c r="J626" s="274"/>
      <c r="K626" s="274"/>
      <c r="L626" s="274"/>
      <c r="M626" s="275"/>
      <c r="N626" s="275"/>
      <c r="O626" s="275"/>
      <c r="P626" s="275"/>
      <c r="Q626" s="275"/>
      <c r="R626" s="275"/>
      <c r="S626" s="275"/>
      <c r="T626" s="275"/>
      <c r="U626" s="275"/>
      <c r="V626" s="275"/>
    </row>
    <row r="627" spans="2:22" ht="13.5" customHeight="1" outlineLevel="1">
      <c r="B627" s="284" t="s">
        <v>123</v>
      </c>
      <c r="C627" s="223"/>
      <c r="D627" s="223"/>
      <c r="E627" s="223"/>
      <c r="F627" s="223"/>
      <c r="G627" s="223"/>
      <c r="H627" s="223"/>
      <c r="I627" s="223"/>
      <c r="J627" s="223"/>
      <c r="K627" s="223"/>
      <c r="L627" s="223"/>
      <c r="M627" s="282"/>
      <c r="N627" s="282"/>
      <c r="O627" s="282"/>
      <c r="P627" s="282"/>
      <c r="Q627" s="282"/>
      <c r="R627" s="282"/>
      <c r="S627" s="282"/>
      <c r="T627" s="282"/>
      <c r="U627" s="282"/>
      <c r="V627" s="282"/>
    </row>
    <row r="628" spans="2:22" ht="13.5" customHeight="1" outlineLevel="1">
      <c r="B628" s="223" t="s">
        <v>466</v>
      </c>
      <c r="C628" s="223"/>
      <c r="D628" s="223"/>
      <c r="E628" s="223"/>
      <c r="F628" s="223"/>
      <c r="G628" s="223"/>
      <c r="H628" s="223"/>
      <c r="I628" s="223"/>
      <c r="J628" s="223"/>
      <c r="K628" s="223"/>
      <c r="L628" s="223"/>
      <c r="M628" s="214">
        <f>L632</f>
        <v>50</v>
      </c>
      <c r="N628" s="214">
        <f ca="1">M632</f>
        <v>50</v>
      </c>
      <c r="O628" s="214">
        <f t="shared" ref="O628:V628" ca="1" si="618">N632</f>
        <v>50</v>
      </c>
      <c r="P628" s="214">
        <f t="shared" ca="1" si="618"/>
        <v>50</v>
      </c>
      <c r="Q628" s="214">
        <f t="shared" ca="1" si="618"/>
        <v>50</v>
      </c>
      <c r="R628" s="214">
        <f t="shared" ca="1" si="618"/>
        <v>50</v>
      </c>
      <c r="S628" s="214">
        <f t="shared" ca="1" si="618"/>
        <v>0</v>
      </c>
      <c r="T628" s="214">
        <f t="shared" ca="1" si="618"/>
        <v>0</v>
      </c>
      <c r="U628" s="214">
        <f t="shared" ca="1" si="618"/>
        <v>0</v>
      </c>
      <c r="V628" s="214">
        <f t="shared" ca="1" si="618"/>
        <v>0</v>
      </c>
    </row>
    <row r="629" spans="2:22" ht="13.5" customHeight="1" outlineLevel="1">
      <c r="B629" s="223" t="s">
        <v>697</v>
      </c>
      <c r="C629" s="223"/>
      <c r="D629" s="223"/>
      <c r="E629" s="223"/>
      <c r="F629" s="223"/>
      <c r="G629" s="223"/>
      <c r="H629" s="223"/>
      <c r="I629" s="223"/>
      <c r="J629" s="223"/>
      <c r="K629" s="223"/>
      <c r="L629" s="223"/>
      <c r="M629" s="218">
        <f t="shared" ref="M629:V629" si="619">M883*M866</f>
        <v>0</v>
      </c>
      <c r="N629" s="218">
        <f t="shared" ca="1" si="619"/>
        <v>0</v>
      </c>
      <c r="O629" s="218">
        <f t="shared" ca="1" si="619"/>
        <v>0</v>
      </c>
      <c r="P629" s="218">
        <f t="shared" ca="1" si="619"/>
        <v>0</v>
      </c>
      <c r="Q629" s="218">
        <f t="shared" ca="1" si="619"/>
        <v>0</v>
      </c>
      <c r="R629" s="218">
        <f t="shared" ca="1" si="619"/>
        <v>0</v>
      </c>
      <c r="S629" s="218">
        <f t="shared" ca="1" si="619"/>
        <v>0</v>
      </c>
      <c r="T629" s="218">
        <f t="shared" ca="1" si="619"/>
        <v>0</v>
      </c>
      <c r="U629" s="218">
        <f t="shared" ca="1" si="619"/>
        <v>0</v>
      </c>
      <c r="V629" s="218">
        <f t="shared" ca="1" si="619"/>
        <v>0</v>
      </c>
    </row>
    <row r="630" spans="2:22" ht="13.5" customHeight="1" outlineLevel="1">
      <c r="B630" s="223" t="s">
        <v>698</v>
      </c>
      <c r="C630" s="223"/>
      <c r="D630" s="223"/>
      <c r="E630" s="223"/>
      <c r="F630" s="223"/>
      <c r="G630" s="223"/>
      <c r="H630" s="223"/>
      <c r="I630" s="223"/>
      <c r="J630" s="223"/>
      <c r="K630" s="223"/>
      <c r="L630" s="223"/>
      <c r="M630" s="218">
        <f t="shared" ref="M630:V630" si="620">-MIN(M628,M437*$L632)</f>
        <v>0</v>
      </c>
      <c r="N630" s="218">
        <f t="shared" ca="1" si="620"/>
        <v>0</v>
      </c>
      <c r="O630" s="218">
        <f t="shared" ca="1" si="620"/>
        <v>0</v>
      </c>
      <c r="P630" s="218">
        <f t="shared" ca="1" si="620"/>
        <v>0</v>
      </c>
      <c r="Q630" s="218">
        <f t="shared" ca="1" si="620"/>
        <v>0</v>
      </c>
      <c r="R630" s="218">
        <f t="shared" ca="1" si="620"/>
        <v>-50</v>
      </c>
      <c r="S630" s="218">
        <f t="shared" ca="1" si="620"/>
        <v>0</v>
      </c>
      <c r="T630" s="218">
        <f t="shared" ca="1" si="620"/>
        <v>0</v>
      </c>
      <c r="U630" s="218">
        <f t="shared" ca="1" si="620"/>
        <v>0</v>
      </c>
      <c r="V630" s="218">
        <f t="shared" ca="1" si="620"/>
        <v>0</v>
      </c>
    </row>
    <row r="631" spans="2:22" ht="13.5" customHeight="1" outlineLevel="1">
      <c r="B631" s="223" t="s">
        <v>699</v>
      </c>
      <c r="C631" s="223"/>
      <c r="D631" s="223"/>
      <c r="E631" s="223"/>
      <c r="F631" s="223"/>
      <c r="G631" s="223"/>
      <c r="H631" s="223"/>
      <c r="I631" s="223"/>
      <c r="J631" s="223"/>
      <c r="K631" s="223"/>
      <c r="L631" s="223"/>
      <c r="M631" s="218">
        <f t="shared" ref="M631:V631" ca="1" si="621">M484</f>
        <v>0</v>
      </c>
      <c r="N631" s="218">
        <f t="shared" ca="1" si="621"/>
        <v>0</v>
      </c>
      <c r="O631" s="218">
        <f t="shared" ca="1" si="621"/>
        <v>0</v>
      </c>
      <c r="P631" s="218">
        <f t="shared" ca="1" si="621"/>
        <v>0</v>
      </c>
      <c r="Q631" s="218">
        <f t="shared" ca="1" si="621"/>
        <v>0</v>
      </c>
      <c r="R631" s="218">
        <f t="shared" ca="1" si="621"/>
        <v>0</v>
      </c>
      <c r="S631" s="218">
        <f t="shared" ca="1" si="621"/>
        <v>0</v>
      </c>
      <c r="T631" s="218">
        <f t="shared" ca="1" si="621"/>
        <v>0</v>
      </c>
      <c r="U631" s="218">
        <f t="shared" ca="1" si="621"/>
        <v>0</v>
      </c>
      <c r="V631" s="218">
        <f t="shared" ca="1" si="621"/>
        <v>0</v>
      </c>
    </row>
    <row r="632" spans="2:22" ht="13.5" customHeight="1" outlineLevel="1">
      <c r="B632" s="279" t="s">
        <v>467</v>
      </c>
      <c r="C632" s="279"/>
      <c r="D632" s="279"/>
      <c r="E632" s="279"/>
      <c r="F632" s="279"/>
      <c r="G632" s="279"/>
      <c r="H632" s="279"/>
      <c r="I632" s="279"/>
      <c r="J632" s="279"/>
      <c r="K632" s="279"/>
      <c r="L632" s="280">
        <f>M1257</f>
        <v>50</v>
      </c>
      <c r="M632" s="286">
        <f ca="1">SUM(M628:M631)</f>
        <v>50</v>
      </c>
      <c r="N632" s="286">
        <f t="shared" ref="N632" ca="1" si="622">SUM(N628:N631)</f>
        <v>50</v>
      </c>
      <c r="O632" s="286">
        <f t="shared" ref="O632" ca="1" si="623">SUM(O628:O631)</f>
        <v>50</v>
      </c>
      <c r="P632" s="286">
        <f t="shared" ref="P632" ca="1" si="624">SUM(P628:P631)</f>
        <v>50</v>
      </c>
      <c r="Q632" s="286">
        <f t="shared" ref="Q632" ca="1" si="625">SUM(Q628:Q631)</f>
        <v>50</v>
      </c>
      <c r="R632" s="286">
        <f t="shared" ref="R632" ca="1" si="626">SUM(R628:R631)</f>
        <v>0</v>
      </c>
      <c r="S632" s="286">
        <f t="shared" ref="S632" ca="1" si="627">SUM(S628:S631)</f>
        <v>0</v>
      </c>
      <c r="T632" s="286">
        <f t="shared" ref="T632" ca="1" si="628">SUM(T628:T631)</f>
        <v>0</v>
      </c>
      <c r="U632" s="286">
        <f t="shared" ref="U632" ca="1" si="629">SUM(U628:U631)</f>
        <v>0</v>
      </c>
      <c r="V632" s="286">
        <f t="shared" ref="V632" ca="1" si="630">SUM(V628:V631)</f>
        <v>0</v>
      </c>
    </row>
    <row r="633" spans="2:22" ht="13.5" customHeight="1" outlineLevel="1">
      <c r="B633" s="223"/>
      <c r="C633" s="223"/>
      <c r="D633" s="223"/>
      <c r="E633" s="223"/>
      <c r="F633" s="223"/>
      <c r="G633" s="223"/>
      <c r="H633" s="223"/>
      <c r="I633" s="223"/>
      <c r="J633" s="223"/>
      <c r="K633" s="223"/>
      <c r="L633" s="223"/>
      <c r="M633" s="282"/>
      <c r="N633" s="282"/>
      <c r="O633" s="282"/>
      <c r="P633" s="282"/>
      <c r="Q633" s="282"/>
      <c r="R633" s="282"/>
      <c r="S633" s="282"/>
      <c r="T633" s="282"/>
      <c r="U633" s="282"/>
      <c r="V633" s="282"/>
    </row>
    <row r="634" spans="2:22" ht="13.5" customHeight="1" outlineLevel="1">
      <c r="B634" s="284" t="s">
        <v>700</v>
      </c>
      <c r="C634" s="223"/>
      <c r="D634" s="223"/>
      <c r="E634" s="223"/>
      <c r="F634" s="223"/>
      <c r="G634" s="223"/>
      <c r="H634" s="223"/>
      <c r="I634" s="223"/>
      <c r="J634" s="223"/>
      <c r="K634" s="223"/>
      <c r="L634" s="223"/>
      <c r="M634" s="282"/>
      <c r="N634" s="282"/>
      <c r="O634" s="282"/>
      <c r="P634" s="282"/>
      <c r="Q634" s="282"/>
      <c r="R634" s="282"/>
      <c r="S634" s="282"/>
      <c r="T634" s="282"/>
      <c r="U634" s="282"/>
      <c r="V634" s="282"/>
    </row>
    <row r="635" spans="2:22" ht="13.5" customHeight="1" outlineLevel="1">
      <c r="B635" s="223" t="s">
        <v>466</v>
      </c>
      <c r="C635" s="223"/>
      <c r="D635" s="223"/>
      <c r="E635" s="223"/>
      <c r="F635" s="223"/>
      <c r="G635" s="223"/>
      <c r="H635" s="223"/>
      <c r="I635" s="223"/>
      <c r="J635" s="223"/>
      <c r="K635" s="223"/>
      <c r="L635" s="223"/>
      <c r="M635" s="214">
        <f>L641</f>
        <v>47.5</v>
      </c>
      <c r="N635" s="214">
        <f ca="1">M641</f>
        <v>47.96875</v>
      </c>
      <c r="O635" s="214">
        <f t="shared" ref="O635:V635" ca="1" si="631">N641</f>
        <v>48.59375</v>
      </c>
      <c r="P635" s="214">
        <f t="shared" ca="1" si="631"/>
        <v>49.21875</v>
      </c>
      <c r="Q635" s="214">
        <f t="shared" ca="1" si="631"/>
        <v>49.84375</v>
      </c>
      <c r="R635" s="214">
        <f t="shared" ca="1" si="631"/>
        <v>50</v>
      </c>
      <c r="S635" s="214">
        <f t="shared" ca="1" si="631"/>
        <v>0</v>
      </c>
      <c r="T635" s="214">
        <f t="shared" ca="1" si="631"/>
        <v>0</v>
      </c>
      <c r="U635" s="214">
        <f t="shared" ca="1" si="631"/>
        <v>0</v>
      </c>
      <c r="V635" s="214">
        <f t="shared" ca="1" si="631"/>
        <v>0</v>
      </c>
    </row>
    <row r="636" spans="2:22" ht="13.5" customHeight="1" outlineLevel="1">
      <c r="B636" s="223" t="s">
        <v>701</v>
      </c>
      <c r="C636" s="223"/>
      <c r="D636" s="223"/>
      <c r="E636" s="223"/>
      <c r="F636" s="223"/>
      <c r="G636" s="223"/>
      <c r="H636" s="223"/>
      <c r="I636" s="223"/>
      <c r="J636" s="223"/>
      <c r="K636" s="223"/>
      <c r="L636" s="223"/>
      <c r="M636" s="218">
        <f>-M645</f>
        <v>0.46875</v>
      </c>
      <c r="N636" s="218">
        <f t="shared" ref="N636:V636" ca="1" si="632">-N645</f>
        <v>0.625</v>
      </c>
      <c r="O636" s="218">
        <f t="shared" ca="1" si="632"/>
        <v>0.625</v>
      </c>
      <c r="P636" s="218">
        <f t="shared" ca="1" si="632"/>
        <v>0.625</v>
      </c>
      <c r="Q636" s="218">
        <f t="shared" ca="1" si="632"/>
        <v>0.15625</v>
      </c>
      <c r="R636" s="218">
        <f t="shared" ca="1" si="632"/>
        <v>0</v>
      </c>
      <c r="S636" s="218">
        <f t="shared" ca="1" si="632"/>
        <v>0</v>
      </c>
      <c r="T636" s="218">
        <f t="shared" ca="1" si="632"/>
        <v>0</v>
      </c>
      <c r="U636" s="218">
        <f t="shared" ca="1" si="632"/>
        <v>0</v>
      </c>
      <c r="V636" s="218">
        <f t="shared" ca="1" si="632"/>
        <v>0</v>
      </c>
    </row>
    <row r="637" spans="2:22" ht="13.5" customHeight="1" outlineLevel="1">
      <c r="B637" s="223" t="s">
        <v>697</v>
      </c>
      <c r="C637" s="223"/>
      <c r="D637" s="223"/>
      <c r="E637" s="223"/>
      <c r="F637" s="223"/>
      <c r="G637" s="223"/>
      <c r="H637" s="223"/>
      <c r="I637" s="223"/>
      <c r="J637" s="223"/>
      <c r="K637" s="223"/>
      <c r="L637" s="223"/>
      <c r="M637" s="218">
        <f>M629</f>
        <v>0</v>
      </c>
      <c r="N637" s="218">
        <f t="shared" ref="N637:V637" ca="1" si="633">N629</f>
        <v>0</v>
      </c>
      <c r="O637" s="218">
        <f t="shared" ca="1" si="633"/>
        <v>0</v>
      </c>
      <c r="P637" s="218">
        <f t="shared" ca="1" si="633"/>
        <v>0</v>
      </c>
      <c r="Q637" s="218">
        <f t="shared" ca="1" si="633"/>
        <v>0</v>
      </c>
      <c r="R637" s="218">
        <f t="shared" ca="1" si="633"/>
        <v>0</v>
      </c>
      <c r="S637" s="218">
        <f t="shared" ca="1" si="633"/>
        <v>0</v>
      </c>
      <c r="T637" s="218">
        <f t="shared" ca="1" si="633"/>
        <v>0</v>
      </c>
      <c r="U637" s="218">
        <f t="shared" ca="1" si="633"/>
        <v>0</v>
      </c>
      <c r="V637" s="218">
        <f t="shared" ca="1" si="633"/>
        <v>0</v>
      </c>
    </row>
    <row r="638" spans="2:22" ht="13.5" customHeight="1" outlineLevel="1">
      <c r="B638" s="223" t="s">
        <v>698</v>
      </c>
      <c r="C638" s="223"/>
      <c r="D638" s="223"/>
      <c r="E638" s="223"/>
      <c r="F638" s="223"/>
      <c r="G638" s="223"/>
      <c r="H638" s="223"/>
      <c r="I638" s="223"/>
      <c r="J638" s="223"/>
      <c r="K638" s="223"/>
      <c r="L638" s="223"/>
      <c r="M638" s="218">
        <f>M630</f>
        <v>0</v>
      </c>
      <c r="N638" s="218">
        <f t="shared" ref="N638:V638" ca="1" si="634">N630</f>
        <v>0</v>
      </c>
      <c r="O638" s="218">
        <f t="shared" ca="1" si="634"/>
        <v>0</v>
      </c>
      <c r="P638" s="218">
        <f t="shared" ca="1" si="634"/>
        <v>0</v>
      </c>
      <c r="Q638" s="218">
        <f t="shared" ca="1" si="634"/>
        <v>0</v>
      </c>
      <c r="R638" s="218">
        <f t="shared" ca="1" si="634"/>
        <v>-50</v>
      </c>
      <c r="S638" s="218">
        <f t="shared" ca="1" si="634"/>
        <v>0</v>
      </c>
      <c r="T638" s="218">
        <f t="shared" ca="1" si="634"/>
        <v>0</v>
      </c>
      <c r="U638" s="218">
        <f t="shared" ca="1" si="634"/>
        <v>0</v>
      </c>
      <c r="V638" s="218">
        <f t="shared" ca="1" si="634"/>
        <v>0</v>
      </c>
    </row>
    <row r="639" spans="2:22" ht="13.5" customHeight="1" outlineLevel="1">
      <c r="B639" s="223" t="s">
        <v>699</v>
      </c>
      <c r="C639" s="223"/>
      <c r="D639" s="223"/>
      <c r="E639" s="223"/>
      <c r="F639" s="223"/>
      <c r="G639" s="223"/>
      <c r="H639" s="223"/>
      <c r="I639" s="223"/>
      <c r="J639" s="223"/>
      <c r="K639" s="223"/>
      <c r="L639" s="223"/>
      <c r="M639" s="218">
        <f ca="1">M631</f>
        <v>0</v>
      </c>
      <c r="N639" s="218">
        <f t="shared" ref="N639:V639" ca="1" si="635">N631</f>
        <v>0</v>
      </c>
      <c r="O639" s="218">
        <f t="shared" ca="1" si="635"/>
        <v>0</v>
      </c>
      <c r="P639" s="218">
        <f t="shared" ca="1" si="635"/>
        <v>0</v>
      </c>
      <c r="Q639" s="218">
        <f t="shared" ca="1" si="635"/>
        <v>0</v>
      </c>
      <c r="R639" s="218">
        <f t="shared" ca="1" si="635"/>
        <v>0</v>
      </c>
      <c r="S639" s="218">
        <f t="shared" ca="1" si="635"/>
        <v>0</v>
      </c>
      <c r="T639" s="218">
        <f t="shared" ca="1" si="635"/>
        <v>0</v>
      </c>
      <c r="U639" s="218">
        <f t="shared" ca="1" si="635"/>
        <v>0</v>
      </c>
      <c r="V639" s="218">
        <f t="shared" ca="1" si="635"/>
        <v>0</v>
      </c>
    </row>
    <row r="640" spans="2:22" ht="13.5" customHeight="1" outlineLevel="1">
      <c r="B640" s="223" t="s">
        <v>702</v>
      </c>
      <c r="C640" s="223"/>
      <c r="D640" s="223"/>
      <c r="E640" s="223"/>
      <c r="F640" s="223"/>
      <c r="G640" s="223"/>
      <c r="H640" s="223"/>
      <c r="I640" s="223"/>
      <c r="J640" s="223"/>
      <c r="K640" s="223"/>
      <c r="L640" s="223"/>
      <c r="M640" s="218">
        <f ca="1">-M646</f>
        <v>0</v>
      </c>
      <c r="N640" s="218">
        <f t="shared" ref="N640:V640" ca="1" si="636">-N646</f>
        <v>0</v>
      </c>
      <c r="O640" s="218">
        <f t="shared" ca="1" si="636"/>
        <v>0</v>
      </c>
      <c r="P640" s="218">
        <f t="shared" ca="1" si="636"/>
        <v>0</v>
      </c>
      <c r="Q640" s="218">
        <f t="shared" ca="1" si="636"/>
        <v>0</v>
      </c>
      <c r="R640" s="218">
        <f t="shared" ca="1" si="636"/>
        <v>0</v>
      </c>
      <c r="S640" s="218">
        <f t="shared" ca="1" si="636"/>
        <v>0</v>
      </c>
      <c r="T640" s="218">
        <f t="shared" ca="1" si="636"/>
        <v>0</v>
      </c>
      <c r="U640" s="218">
        <f t="shared" ca="1" si="636"/>
        <v>0</v>
      </c>
      <c r="V640" s="218">
        <f t="shared" ca="1" si="636"/>
        <v>0</v>
      </c>
    </row>
    <row r="641" spans="2:22" ht="13.5" customHeight="1" outlineLevel="1">
      <c r="B641" s="279" t="s">
        <v>467</v>
      </c>
      <c r="C641" s="279"/>
      <c r="D641" s="279"/>
      <c r="E641" s="279"/>
      <c r="F641" s="279"/>
      <c r="G641" s="279"/>
      <c r="H641" s="279"/>
      <c r="I641" s="279"/>
      <c r="J641" s="279"/>
      <c r="K641" s="279"/>
      <c r="L641" s="280">
        <f>L632*(1-$O1305)</f>
        <v>47.5</v>
      </c>
      <c r="M641" s="286">
        <f ca="1">SUM(M635:M640)</f>
        <v>47.96875</v>
      </c>
      <c r="N641" s="286">
        <f t="shared" ref="N641" ca="1" si="637">SUM(N635:N640)</f>
        <v>48.59375</v>
      </c>
      <c r="O641" s="286">
        <f t="shared" ref="O641" ca="1" si="638">SUM(O635:O640)</f>
        <v>49.21875</v>
      </c>
      <c r="P641" s="286">
        <f t="shared" ref="P641" ca="1" si="639">SUM(P635:P640)</f>
        <v>49.84375</v>
      </c>
      <c r="Q641" s="286">
        <f t="shared" ref="Q641" ca="1" si="640">SUM(Q635:Q640)</f>
        <v>50</v>
      </c>
      <c r="R641" s="286">
        <f t="shared" ref="R641" ca="1" si="641">SUM(R635:R640)</f>
        <v>0</v>
      </c>
      <c r="S641" s="286">
        <f t="shared" ref="S641" ca="1" si="642">SUM(S635:S640)</f>
        <v>0</v>
      </c>
      <c r="T641" s="286">
        <f t="shared" ref="T641" ca="1" si="643">SUM(T635:T640)</f>
        <v>0</v>
      </c>
      <c r="U641" s="286">
        <f t="shared" ref="U641" ca="1" si="644">SUM(U635:U640)</f>
        <v>0</v>
      </c>
      <c r="V641" s="286">
        <f t="shared" ref="V641" ca="1" si="645">SUM(V635:V640)</f>
        <v>0</v>
      </c>
    </row>
    <row r="642" spans="2:22" ht="13.5" customHeight="1" outlineLevel="1">
      <c r="B642" s="223"/>
      <c r="C642" s="223"/>
      <c r="D642" s="223"/>
      <c r="E642" s="223"/>
      <c r="F642" s="223"/>
      <c r="G642" s="223"/>
      <c r="H642" s="223"/>
      <c r="I642" s="223"/>
      <c r="J642" s="223"/>
      <c r="K642" s="223"/>
      <c r="L642" s="223"/>
      <c r="M642" s="282"/>
      <c r="N642" s="282"/>
      <c r="O642" s="282"/>
      <c r="P642" s="282"/>
      <c r="Q642" s="282"/>
      <c r="R642" s="282"/>
      <c r="S642" s="282"/>
      <c r="T642" s="282"/>
      <c r="U642" s="282"/>
      <c r="V642" s="282"/>
    </row>
    <row r="643" spans="2:22" ht="13.5" customHeight="1" outlineLevel="1">
      <c r="B643" s="284" t="s">
        <v>703</v>
      </c>
      <c r="C643" s="223"/>
      <c r="D643" s="223"/>
      <c r="E643" s="223"/>
      <c r="F643" s="223"/>
      <c r="G643" s="223"/>
      <c r="H643" s="223"/>
      <c r="I643" s="223"/>
      <c r="J643" s="223"/>
      <c r="K643" s="223"/>
      <c r="L643" s="223"/>
      <c r="M643" s="282"/>
      <c r="N643" s="282"/>
      <c r="O643" s="282"/>
      <c r="P643" s="282"/>
      <c r="Q643" s="282"/>
      <c r="R643" s="282"/>
      <c r="S643" s="282"/>
      <c r="T643" s="282"/>
      <c r="U643" s="282"/>
      <c r="V643" s="282"/>
    </row>
    <row r="644" spans="2:22" ht="13.5" customHeight="1" outlineLevel="1">
      <c r="B644" s="223" t="s">
        <v>466</v>
      </c>
      <c r="C644" s="223"/>
      <c r="D644" s="223"/>
      <c r="E644" s="223"/>
      <c r="F644" s="223"/>
      <c r="G644" s="223"/>
      <c r="H644" s="223"/>
      <c r="I644" s="223"/>
      <c r="J644" s="223"/>
      <c r="K644" s="223"/>
      <c r="L644" s="223"/>
      <c r="M644" s="214">
        <f>L647</f>
        <v>2.5</v>
      </c>
      <c r="N644" s="214">
        <f ca="1">M647</f>
        <v>2.03125</v>
      </c>
      <c r="O644" s="214">
        <f t="shared" ref="O644:V644" ca="1" si="646">N647</f>
        <v>1.40625</v>
      </c>
      <c r="P644" s="214">
        <f t="shared" ca="1" si="646"/>
        <v>0.78125</v>
      </c>
      <c r="Q644" s="214">
        <f t="shared" ca="1" si="646"/>
        <v>0.15625</v>
      </c>
      <c r="R644" s="214">
        <f t="shared" ca="1" si="646"/>
        <v>0</v>
      </c>
      <c r="S644" s="214">
        <f t="shared" ca="1" si="646"/>
        <v>0</v>
      </c>
      <c r="T644" s="214">
        <f t="shared" ca="1" si="646"/>
        <v>0</v>
      </c>
      <c r="U644" s="214">
        <f t="shared" ca="1" si="646"/>
        <v>0</v>
      </c>
      <c r="V644" s="214">
        <f t="shared" ca="1" si="646"/>
        <v>0</v>
      </c>
    </row>
    <row r="645" spans="2:22" ht="13.5" customHeight="1" outlineLevel="1">
      <c r="B645" s="223" t="s">
        <v>704</v>
      </c>
      <c r="C645" s="223"/>
      <c r="D645" s="223"/>
      <c r="E645" s="223"/>
      <c r="F645" s="223"/>
      <c r="G645" s="223"/>
      <c r="H645" s="223"/>
      <c r="I645" s="223"/>
      <c r="J645" s="223"/>
      <c r="K645" s="223"/>
      <c r="L645" s="223"/>
      <c r="M645" s="218">
        <f t="shared" ref="M645:V645" si="647">IFERROR(-MIN(M644/L450*M$148,M644),0)</f>
        <v>-0.46875</v>
      </c>
      <c r="N645" s="218">
        <f t="shared" ca="1" si="647"/>
        <v>-0.625</v>
      </c>
      <c r="O645" s="218">
        <f t="shared" ca="1" si="647"/>
        <v>-0.625</v>
      </c>
      <c r="P645" s="218">
        <f t="shared" ca="1" si="647"/>
        <v>-0.625</v>
      </c>
      <c r="Q645" s="218">
        <f t="shared" ca="1" si="647"/>
        <v>-0.15625</v>
      </c>
      <c r="R645" s="218">
        <f t="shared" ca="1" si="647"/>
        <v>0</v>
      </c>
      <c r="S645" s="218">
        <f t="shared" ca="1" si="647"/>
        <v>0</v>
      </c>
      <c r="T645" s="218">
        <f t="shared" ca="1" si="647"/>
        <v>0</v>
      </c>
      <c r="U645" s="218">
        <f t="shared" ca="1" si="647"/>
        <v>0</v>
      </c>
      <c r="V645" s="218">
        <f t="shared" ca="1" si="647"/>
        <v>0</v>
      </c>
    </row>
    <row r="646" spans="2:22" ht="13.5" customHeight="1" outlineLevel="1">
      <c r="B646" s="223" t="s">
        <v>448</v>
      </c>
      <c r="C646" s="223"/>
      <c r="D646" s="223"/>
      <c r="E646" s="223"/>
      <c r="F646" s="223"/>
      <c r="G646" s="223"/>
      <c r="H646" s="223"/>
      <c r="I646" s="223"/>
      <c r="J646" s="223"/>
      <c r="K646" s="223"/>
      <c r="L646" s="223"/>
      <c r="M646" s="218">
        <f ca="1">IFERROR(SUM(M644:M645)*SUM(M630:M631)/L632,0)</f>
        <v>0</v>
      </c>
      <c r="N646" s="218">
        <f t="shared" ref="N646" ca="1" si="648">IFERROR(SUM(N644:N645)*SUM(N630:N631)/M632,0)</f>
        <v>0</v>
      </c>
      <c r="O646" s="218">
        <f t="shared" ref="O646" ca="1" si="649">IFERROR(SUM(O644:O645)*SUM(O630:O631)/N632,0)</f>
        <v>0</v>
      </c>
      <c r="P646" s="218">
        <f t="shared" ref="P646" ca="1" si="650">IFERROR(SUM(P644:P645)*SUM(P630:P631)/O632,0)</f>
        <v>0</v>
      </c>
      <c r="Q646" s="218">
        <f t="shared" ref="Q646" ca="1" si="651">IFERROR(SUM(Q644:Q645)*SUM(Q630:Q631)/P632,0)</f>
        <v>0</v>
      </c>
      <c r="R646" s="218">
        <f t="shared" ref="R646" ca="1" si="652">IFERROR(SUM(R644:R645)*SUM(R630:R631)/Q632,0)</f>
        <v>0</v>
      </c>
      <c r="S646" s="218">
        <f t="shared" ref="S646" ca="1" si="653">IFERROR(SUM(S644:S645)*SUM(S630:S631)/R632,0)</f>
        <v>0</v>
      </c>
      <c r="T646" s="218">
        <f t="shared" ref="T646" ca="1" si="654">IFERROR(SUM(T644:T645)*SUM(T630:T631)/S632,0)</f>
        <v>0</v>
      </c>
      <c r="U646" s="218">
        <f t="shared" ref="U646" ca="1" si="655">IFERROR(SUM(U644:U645)*SUM(U630:U631)/T632,0)</f>
        <v>0</v>
      </c>
      <c r="V646" s="218">
        <f t="shared" ref="V646" ca="1" si="656">IFERROR(SUM(V644:V645)*SUM(V630:V631)/U632,0)</f>
        <v>0</v>
      </c>
    </row>
    <row r="647" spans="2:22" ht="13.5" customHeight="1" outlineLevel="1">
      <c r="B647" s="279" t="s">
        <v>467</v>
      </c>
      <c r="C647" s="279"/>
      <c r="D647" s="279"/>
      <c r="E647" s="279"/>
      <c r="F647" s="279"/>
      <c r="G647" s="279"/>
      <c r="H647" s="279"/>
      <c r="I647" s="279"/>
      <c r="J647" s="279"/>
      <c r="K647" s="279"/>
      <c r="L647" s="280">
        <f>M1257*O1305</f>
        <v>2.5</v>
      </c>
      <c r="M647" s="286">
        <f ca="1">SUM(M644:M646)</f>
        <v>2.03125</v>
      </c>
      <c r="N647" s="286">
        <f ca="1">SUM(N644:N646)</f>
        <v>1.40625</v>
      </c>
      <c r="O647" s="286">
        <f t="shared" ref="O647" ca="1" si="657">SUM(O644:O646)</f>
        <v>0.78125</v>
      </c>
      <c r="P647" s="286">
        <f t="shared" ref="P647" ca="1" si="658">SUM(P644:P646)</f>
        <v>0.15625</v>
      </c>
      <c r="Q647" s="286">
        <f t="shared" ref="Q647" ca="1" si="659">SUM(Q644:Q646)</f>
        <v>0</v>
      </c>
      <c r="R647" s="286">
        <f t="shared" ref="R647" ca="1" si="660">SUM(R644:R646)</f>
        <v>0</v>
      </c>
      <c r="S647" s="286">
        <f t="shared" ref="S647" ca="1" si="661">SUM(S644:S646)</f>
        <v>0</v>
      </c>
      <c r="T647" s="286">
        <f t="shared" ref="T647" ca="1" si="662">SUM(T644:T646)</f>
        <v>0</v>
      </c>
      <c r="U647" s="286">
        <f t="shared" ref="U647" ca="1" si="663">SUM(U644:U646)</f>
        <v>0</v>
      </c>
      <c r="V647" s="286">
        <f t="shared" ref="V647" ca="1" si="664">SUM(V644:V646)</f>
        <v>0</v>
      </c>
    </row>
    <row r="648" spans="2:22" ht="13.5" customHeight="1" outlineLevel="1">
      <c r="B648" s="223"/>
      <c r="C648" s="223"/>
      <c r="D648" s="223"/>
      <c r="E648" s="223"/>
      <c r="F648" s="223"/>
      <c r="G648" s="223"/>
      <c r="H648" s="223"/>
      <c r="I648" s="223"/>
      <c r="J648" s="223"/>
      <c r="K648" s="223"/>
      <c r="L648" s="283"/>
      <c r="M648" s="285"/>
      <c r="N648" s="285"/>
      <c r="O648" s="285"/>
      <c r="P648" s="285"/>
      <c r="Q648" s="285"/>
      <c r="R648" s="285"/>
      <c r="S648" s="285"/>
      <c r="T648" s="285"/>
      <c r="U648" s="285"/>
      <c r="V648" s="285"/>
    </row>
    <row r="649" spans="2:22" ht="13.5" customHeight="1" outlineLevel="1">
      <c r="B649" s="284" t="s">
        <v>147</v>
      </c>
      <c r="C649" s="223"/>
      <c r="D649" s="223"/>
      <c r="E649" s="223"/>
      <c r="F649" s="223"/>
      <c r="G649" s="223"/>
      <c r="H649" s="223"/>
      <c r="I649" s="223"/>
      <c r="J649" s="223"/>
      <c r="K649" s="223"/>
      <c r="L649" s="283"/>
      <c r="M649" s="285"/>
      <c r="N649" s="285"/>
      <c r="O649" s="285"/>
      <c r="P649" s="285"/>
      <c r="Q649" s="285"/>
      <c r="R649" s="285"/>
      <c r="S649" s="285"/>
      <c r="T649" s="285"/>
      <c r="U649" s="285"/>
      <c r="V649" s="285"/>
    </row>
    <row r="650" spans="2:22" ht="13.5" customHeight="1" outlineLevel="1">
      <c r="B650" s="223" t="s">
        <v>714</v>
      </c>
      <c r="C650" s="223"/>
      <c r="D650" s="223"/>
      <c r="E650" s="223"/>
      <c r="F650" s="223"/>
      <c r="G650" s="223"/>
      <c r="H650" s="223"/>
      <c r="I650" s="223"/>
      <c r="J650" s="223"/>
      <c r="K650" s="223"/>
      <c r="L650" s="283"/>
      <c r="M650" s="285">
        <f t="shared" ref="M650:V650" si="665">M853*IF(avg_int,AVERAGE(M628,M632),M628)*M$148</f>
        <v>3.84375</v>
      </c>
      <c r="N650" s="285">
        <f t="shared" ca="1" si="665"/>
        <v>5.125</v>
      </c>
      <c r="O650" s="285">
        <f t="shared" ca="1" si="665"/>
        <v>5.125</v>
      </c>
      <c r="P650" s="285">
        <f t="shared" ca="1" si="665"/>
        <v>5.125</v>
      </c>
      <c r="Q650" s="285">
        <f t="shared" ca="1" si="665"/>
        <v>5.125</v>
      </c>
      <c r="R650" s="285">
        <f t="shared" ca="1" si="665"/>
        <v>5.125</v>
      </c>
      <c r="S650" s="285">
        <f t="shared" ca="1" si="665"/>
        <v>0</v>
      </c>
      <c r="T650" s="285">
        <f t="shared" ca="1" si="665"/>
        <v>0</v>
      </c>
      <c r="U650" s="285">
        <f t="shared" ca="1" si="665"/>
        <v>0</v>
      </c>
      <c r="V650" s="285">
        <f t="shared" ca="1" si="665"/>
        <v>0</v>
      </c>
    </row>
    <row r="651" spans="2:22" ht="13.5" customHeight="1" outlineLevel="1">
      <c r="B651" s="223" t="s">
        <v>701</v>
      </c>
      <c r="C651" s="223"/>
      <c r="D651" s="223"/>
      <c r="E651" s="223"/>
      <c r="F651" s="223"/>
      <c r="G651" s="223"/>
      <c r="H651" s="223"/>
      <c r="I651" s="223"/>
      <c r="J651" s="223"/>
      <c r="K651" s="223"/>
      <c r="L651" s="283"/>
      <c r="M651" s="218">
        <f>-M645</f>
        <v>0.46875</v>
      </c>
      <c r="N651" s="218">
        <f t="shared" ref="N651:V651" ca="1" si="666">-N645</f>
        <v>0.625</v>
      </c>
      <c r="O651" s="218">
        <f t="shared" ca="1" si="666"/>
        <v>0.625</v>
      </c>
      <c r="P651" s="218">
        <f t="shared" ca="1" si="666"/>
        <v>0.625</v>
      </c>
      <c r="Q651" s="218">
        <f t="shared" ca="1" si="666"/>
        <v>0.15625</v>
      </c>
      <c r="R651" s="218">
        <f t="shared" ca="1" si="666"/>
        <v>0</v>
      </c>
      <c r="S651" s="218">
        <f t="shared" ca="1" si="666"/>
        <v>0</v>
      </c>
      <c r="T651" s="218">
        <f t="shared" ca="1" si="666"/>
        <v>0</v>
      </c>
      <c r="U651" s="218">
        <f t="shared" ca="1" si="666"/>
        <v>0</v>
      </c>
      <c r="V651" s="218">
        <f t="shared" ca="1" si="666"/>
        <v>0</v>
      </c>
    </row>
    <row r="652" spans="2:22" ht="13.5" customHeight="1" outlineLevel="1">
      <c r="B652" s="279" t="s">
        <v>715</v>
      </c>
      <c r="C652" s="279"/>
      <c r="D652" s="279"/>
      <c r="E652" s="279"/>
      <c r="F652" s="279"/>
      <c r="G652" s="279"/>
      <c r="H652" s="279"/>
      <c r="I652" s="279"/>
      <c r="J652" s="279"/>
      <c r="K652" s="279"/>
      <c r="L652" s="280"/>
      <c r="M652" s="286">
        <f>SUM(M650:M651)</f>
        <v>4.3125</v>
      </c>
      <c r="N652" s="286">
        <f t="shared" ref="N652" ca="1" si="667">SUM(N650:N651)</f>
        <v>5.75</v>
      </c>
      <c r="O652" s="286">
        <f t="shared" ref="O652" ca="1" si="668">SUM(O650:O651)</f>
        <v>5.75</v>
      </c>
      <c r="P652" s="286">
        <f t="shared" ref="P652" ca="1" si="669">SUM(P650:P651)</f>
        <v>5.75</v>
      </c>
      <c r="Q652" s="286">
        <f t="shared" ref="Q652" ca="1" si="670">SUM(Q650:Q651)</f>
        <v>5.28125</v>
      </c>
      <c r="R652" s="286">
        <f t="shared" ref="R652" ca="1" si="671">SUM(R650:R651)</f>
        <v>5.125</v>
      </c>
      <c r="S652" s="286">
        <f t="shared" ref="S652" ca="1" si="672">SUM(S650:S651)</f>
        <v>0</v>
      </c>
      <c r="T652" s="286">
        <f t="shared" ref="T652" ca="1" si="673">SUM(T650:T651)</f>
        <v>0</v>
      </c>
      <c r="U652" s="286">
        <f t="shared" ref="U652" ca="1" si="674">SUM(U650:U651)</f>
        <v>0</v>
      </c>
      <c r="V652" s="286">
        <f t="shared" ref="V652" ca="1" si="675">SUM(V650:V651)</f>
        <v>0</v>
      </c>
    </row>
    <row r="653" spans="2:22" ht="5.0999999999999996" customHeight="1" outlineLevel="1" thickBot="1">
      <c r="B653" s="152"/>
      <c r="C653" s="152"/>
      <c r="D653" s="152"/>
      <c r="E653" s="152"/>
      <c r="F653" s="152"/>
      <c r="G653" s="152"/>
      <c r="H653" s="152"/>
      <c r="I653" s="152"/>
      <c r="J653" s="152"/>
      <c r="K653" s="152"/>
      <c r="L653" s="152"/>
      <c r="M653" s="287"/>
      <c r="N653" s="287"/>
      <c r="O653" s="287"/>
      <c r="P653" s="287"/>
      <c r="Q653" s="287"/>
      <c r="R653" s="287"/>
      <c r="S653" s="287"/>
      <c r="T653" s="287"/>
      <c r="U653" s="287"/>
      <c r="V653" s="287"/>
    </row>
    <row r="654" spans="2:22" ht="13.5" customHeight="1" outlineLevel="1">
      <c r="M654" s="190"/>
      <c r="N654" s="190"/>
      <c r="O654" s="190"/>
      <c r="P654" s="190"/>
      <c r="Q654" s="190"/>
      <c r="R654" s="190"/>
      <c r="S654" s="190"/>
      <c r="T654" s="190"/>
      <c r="U654" s="190"/>
      <c r="V654" s="190"/>
    </row>
    <row r="655" spans="2:22" ht="13.5" customHeight="1" outlineLevel="1">
      <c r="B655" s="273" t="str">
        <f>B1258</f>
        <v>Mezzanine</v>
      </c>
      <c r="C655" s="274"/>
      <c r="D655" s="274"/>
      <c r="E655" s="274"/>
      <c r="F655" s="274"/>
      <c r="G655" s="274"/>
      <c r="H655" s="274"/>
      <c r="I655" s="274"/>
      <c r="J655" s="274"/>
      <c r="K655" s="274"/>
      <c r="L655" s="274"/>
      <c r="M655" s="275"/>
      <c r="N655" s="275"/>
      <c r="O655" s="275"/>
      <c r="P655" s="275"/>
      <c r="Q655" s="275"/>
      <c r="R655" s="275"/>
      <c r="S655" s="275"/>
      <c r="T655" s="275"/>
      <c r="U655" s="275"/>
      <c r="V655" s="275"/>
    </row>
    <row r="656" spans="2:22" ht="13.5" customHeight="1" outlineLevel="1">
      <c r="B656" s="284" t="s">
        <v>123</v>
      </c>
      <c r="C656" s="223"/>
      <c r="D656" s="223"/>
      <c r="E656" s="223"/>
      <c r="F656" s="223"/>
      <c r="G656" s="223"/>
      <c r="H656" s="223"/>
      <c r="I656" s="223"/>
      <c r="J656" s="223"/>
      <c r="K656" s="223"/>
      <c r="L656" s="223"/>
      <c r="M656" s="282"/>
      <c r="N656" s="282"/>
      <c r="O656" s="282"/>
      <c r="P656" s="282"/>
      <c r="Q656" s="282"/>
      <c r="R656" s="282"/>
      <c r="S656" s="282"/>
      <c r="T656" s="282"/>
      <c r="U656" s="282"/>
      <c r="V656" s="282"/>
    </row>
    <row r="657" spans="2:22" ht="13.5" customHeight="1" outlineLevel="1">
      <c r="B657" s="223" t="s">
        <v>466</v>
      </c>
      <c r="C657" s="223"/>
      <c r="D657" s="223"/>
      <c r="E657" s="223"/>
      <c r="F657" s="223"/>
      <c r="G657" s="223"/>
      <c r="H657" s="223"/>
      <c r="I657" s="223"/>
      <c r="J657" s="223"/>
      <c r="K657" s="223"/>
      <c r="L657" s="223"/>
      <c r="M657" s="214">
        <f>L661</f>
        <v>0</v>
      </c>
      <c r="N657" s="214">
        <f ca="1">M661</f>
        <v>0</v>
      </c>
      <c r="O657" s="214">
        <f t="shared" ref="O657:V657" ca="1" si="676">N661</f>
        <v>0</v>
      </c>
      <c r="P657" s="214">
        <f t="shared" ca="1" si="676"/>
        <v>0</v>
      </c>
      <c r="Q657" s="214">
        <f t="shared" ca="1" si="676"/>
        <v>0</v>
      </c>
      <c r="R657" s="214">
        <f t="shared" ca="1" si="676"/>
        <v>0</v>
      </c>
      <c r="S657" s="214">
        <f t="shared" ca="1" si="676"/>
        <v>0</v>
      </c>
      <c r="T657" s="214">
        <f t="shared" ca="1" si="676"/>
        <v>0</v>
      </c>
      <c r="U657" s="214">
        <f t="shared" ca="1" si="676"/>
        <v>0</v>
      </c>
      <c r="V657" s="214">
        <f t="shared" ca="1" si="676"/>
        <v>0</v>
      </c>
    </row>
    <row r="658" spans="2:22" ht="13.5" customHeight="1" outlineLevel="1">
      <c r="B658" s="223" t="s">
        <v>697</v>
      </c>
      <c r="C658" s="223"/>
      <c r="D658" s="223"/>
      <c r="E658" s="223"/>
      <c r="F658" s="223"/>
      <c r="G658" s="223"/>
      <c r="H658" s="223"/>
      <c r="I658" s="223"/>
      <c r="J658" s="223"/>
      <c r="K658" s="223"/>
      <c r="L658" s="223"/>
      <c r="M658" s="218">
        <f t="shared" ref="M658:V658" si="677">M884*M867</f>
        <v>0</v>
      </c>
      <c r="N658" s="218">
        <f t="shared" ca="1" si="677"/>
        <v>0</v>
      </c>
      <c r="O658" s="218">
        <f t="shared" ca="1" si="677"/>
        <v>0</v>
      </c>
      <c r="P658" s="218">
        <f t="shared" ca="1" si="677"/>
        <v>0</v>
      </c>
      <c r="Q658" s="218">
        <f t="shared" ca="1" si="677"/>
        <v>0</v>
      </c>
      <c r="R658" s="218">
        <f t="shared" ca="1" si="677"/>
        <v>0</v>
      </c>
      <c r="S658" s="218">
        <f t="shared" ca="1" si="677"/>
        <v>0</v>
      </c>
      <c r="T658" s="218">
        <f t="shared" ca="1" si="677"/>
        <v>0</v>
      </c>
      <c r="U658" s="218">
        <f t="shared" ca="1" si="677"/>
        <v>0</v>
      </c>
      <c r="V658" s="218">
        <f t="shared" ca="1" si="677"/>
        <v>0</v>
      </c>
    </row>
    <row r="659" spans="2:22" ht="13.5" customHeight="1" outlineLevel="1">
      <c r="B659" s="223" t="s">
        <v>698</v>
      </c>
      <c r="C659" s="223"/>
      <c r="D659" s="223"/>
      <c r="E659" s="223"/>
      <c r="F659" s="223"/>
      <c r="G659" s="223"/>
      <c r="H659" s="223"/>
      <c r="I659" s="223"/>
      <c r="J659" s="223"/>
      <c r="K659" s="223"/>
      <c r="L659" s="223"/>
      <c r="M659" s="218">
        <f t="shared" ref="M659:V659" si="678">-MIN(M657,M438*$L661)</f>
        <v>0</v>
      </c>
      <c r="N659" s="218">
        <f t="shared" ca="1" si="678"/>
        <v>0</v>
      </c>
      <c r="O659" s="218">
        <f t="shared" ca="1" si="678"/>
        <v>0</v>
      </c>
      <c r="P659" s="218">
        <f t="shared" ca="1" si="678"/>
        <v>0</v>
      </c>
      <c r="Q659" s="218">
        <f t="shared" ca="1" si="678"/>
        <v>0</v>
      </c>
      <c r="R659" s="218">
        <f t="shared" ca="1" si="678"/>
        <v>0</v>
      </c>
      <c r="S659" s="218">
        <f t="shared" ca="1" si="678"/>
        <v>0</v>
      </c>
      <c r="T659" s="218">
        <f t="shared" ca="1" si="678"/>
        <v>0</v>
      </c>
      <c r="U659" s="218">
        <f t="shared" ca="1" si="678"/>
        <v>0</v>
      </c>
      <c r="V659" s="218">
        <f t="shared" ca="1" si="678"/>
        <v>0</v>
      </c>
    </row>
    <row r="660" spans="2:22" ht="13.5" customHeight="1" outlineLevel="1">
      <c r="B660" s="223" t="s">
        <v>699</v>
      </c>
      <c r="C660" s="223"/>
      <c r="D660" s="223"/>
      <c r="E660" s="223"/>
      <c r="F660" s="223"/>
      <c r="G660" s="223"/>
      <c r="H660" s="223"/>
      <c r="I660" s="223"/>
      <c r="J660" s="223"/>
      <c r="K660" s="223"/>
      <c r="L660" s="223"/>
      <c r="M660" s="218">
        <f t="shared" ref="M660:V660" ca="1" si="679">M485</f>
        <v>0</v>
      </c>
      <c r="N660" s="218">
        <f t="shared" ca="1" si="679"/>
        <v>0</v>
      </c>
      <c r="O660" s="218">
        <f t="shared" ca="1" si="679"/>
        <v>0</v>
      </c>
      <c r="P660" s="218">
        <f t="shared" ca="1" si="679"/>
        <v>0</v>
      </c>
      <c r="Q660" s="218">
        <f t="shared" ca="1" si="679"/>
        <v>0</v>
      </c>
      <c r="R660" s="218">
        <f t="shared" ca="1" si="679"/>
        <v>0</v>
      </c>
      <c r="S660" s="218">
        <f t="shared" ca="1" si="679"/>
        <v>0</v>
      </c>
      <c r="T660" s="218">
        <f t="shared" ca="1" si="679"/>
        <v>0</v>
      </c>
      <c r="U660" s="218">
        <f t="shared" ca="1" si="679"/>
        <v>0</v>
      </c>
      <c r="V660" s="218">
        <f t="shared" ca="1" si="679"/>
        <v>0</v>
      </c>
    </row>
    <row r="661" spans="2:22" ht="13.5" customHeight="1" outlineLevel="1">
      <c r="B661" s="279" t="s">
        <v>467</v>
      </c>
      <c r="C661" s="279"/>
      <c r="D661" s="279"/>
      <c r="E661" s="279"/>
      <c r="F661" s="279"/>
      <c r="G661" s="279"/>
      <c r="H661" s="279"/>
      <c r="I661" s="279"/>
      <c r="J661" s="279"/>
      <c r="K661" s="279"/>
      <c r="L661" s="280">
        <f>M1258</f>
        <v>0</v>
      </c>
      <c r="M661" s="286">
        <f ca="1">SUM(M657:M660)</f>
        <v>0</v>
      </c>
      <c r="N661" s="286">
        <f t="shared" ref="N661" ca="1" si="680">SUM(N657:N660)</f>
        <v>0</v>
      </c>
      <c r="O661" s="286">
        <f t="shared" ref="O661" ca="1" si="681">SUM(O657:O660)</f>
        <v>0</v>
      </c>
      <c r="P661" s="286">
        <f t="shared" ref="P661" ca="1" si="682">SUM(P657:P660)</f>
        <v>0</v>
      </c>
      <c r="Q661" s="286">
        <f t="shared" ref="Q661" ca="1" si="683">SUM(Q657:Q660)</f>
        <v>0</v>
      </c>
      <c r="R661" s="286">
        <f t="shared" ref="R661" ca="1" si="684">SUM(R657:R660)</f>
        <v>0</v>
      </c>
      <c r="S661" s="286">
        <f t="shared" ref="S661" ca="1" si="685">SUM(S657:S660)</f>
        <v>0</v>
      </c>
      <c r="T661" s="286">
        <f t="shared" ref="T661" ca="1" si="686">SUM(T657:T660)</f>
        <v>0</v>
      </c>
      <c r="U661" s="286">
        <f t="shared" ref="U661" ca="1" si="687">SUM(U657:U660)</f>
        <v>0</v>
      </c>
      <c r="V661" s="286">
        <f t="shared" ref="V661" ca="1" si="688">SUM(V657:V660)</f>
        <v>0</v>
      </c>
    </row>
    <row r="662" spans="2:22" ht="13.5" customHeight="1" outlineLevel="1">
      <c r="B662" s="223"/>
      <c r="C662" s="223"/>
      <c r="D662" s="223"/>
      <c r="E662" s="223"/>
      <c r="F662" s="223"/>
      <c r="G662" s="223"/>
      <c r="H662" s="223"/>
      <c r="I662" s="223"/>
      <c r="J662" s="223"/>
      <c r="K662" s="223"/>
      <c r="L662" s="223"/>
      <c r="M662" s="282"/>
      <c r="N662" s="282"/>
      <c r="O662" s="282"/>
      <c r="P662" s="282"/>
      <c r="Q662" s="282"/>
      <c r="R662" s="282"/>
      <c r="S662" s="282"/>
      <c r="T662" s="282"/>
      <c r="U662" s="282"/>
      <c r="V662" s="282"/>
    </row>
    <row r="663" spans="2:22" ht="13.5" customHeight="1" outlineLevel="1">
      <c r="B663" s="284" t="s">
        <v>700</v>
      </c>
      <c r="C663" s="223"/>
      <c r="D663" s="223"/>
      <c r="E663" s="223"/>
      <c r="F663" s="223"/>
      <c r="G663" s="223"/>
      <c r="H663" s="223"/>
      <c r="I663" s="223"/>
      <c r="J663" s="223"/>
      <c r="K663" s="223"/>
      <c r="L663" s="223"/>
      <c r="M663" s="282"/>
      <c r="N663" s="282"/>
      <c r="O663" s="282"/>
      <c r="P663" s="282"/>
      <c r="Q663" s="282"/>
      <c r="R663" s="282"/>
      <c r="S663" s="282"/>
      <c r="T663" s="282"/>
      <c r="U663" s="282"/>
      <c r="V663" s="282"/>
    </row>
    <row r="664" spans="2:22" ht="13.5" customHeight="1" outlineLevel="1">
      <c r="B664" s="223" t="s">
        <v>466</v>
      </c>
      <c r="C664" s="223"/>
      <c r="D664" s="223"/>
      <c r="E664" s="223"/>
      <c r="F664" s="223"/>
      <c r="G664" s="223"/>
      <c r="H664" s="223"/>
      <c r="I664" s="223"/>
      <c r="J664" s="223"/>
      <c r="K664" s="223"/>
      <c r="L664" s="223"/>
      <c r="M664" s="214">
        <f>L670</f>
        <v>0</v>
      </c>
      <c r="N664" s="214">
        <f ca="1">M670</f>
        <v>0</v>
      </c>
      <c r="O664" s="214">
        <f t="shared" ref="O664:V664" ca="1" si="689">N670</f>
        <v>0</v>
      </c>
      <c r="P664" s="214">
        <f t="shared" ca="1" si="689"/>
        <v>0</v>
      </c>
      <c r="Q664" s="214">
        <f t="shared" ca="1" si="689"/>
        <v>0</v>
      </c>
      <c r="R664" s="214">
        <f t="shared" ca="1" si="689"/>
        <v>0</v>
      </c>
      <c r="S664" s="214">
        <f t="shared" ca="1" si="689"/>
        <v>0</v>
      </c>
      <c r="T664" s="214">
        <f t="shared" ca="1" si="689"/>
        <v>0</v>
      </c>
      <c r="U664" s="214">
        <f t="shared" ca="1" si="689"/>
        <v>0</v>
      </c>
      <c r="V664" s="214">
        <f t="shared" ca="1" si="689"/>
        <v>0</v>
      </c>
    </row>
    <row r="665" spans="2:22" ht="13.5" customHeight="1" outlineLevel="1">
      <c r="B665" s="223" t="s">
        <v>701</v>
      </c>
      <c r="C665" s="223"/>
      <c r="D665" s="223"/>
      <c r="E665" s="223"/>
      <c r="F665" s="223"/>
      <c r="G665" s="223"/>
      <c r="H665" s="223"/>
      <c r="I665" s="223"/>
      <c r="J665" s="223"/>
      <c r="K665" s="223"/>
      <c r="L665" s="223"/>
      <c r="M665" s="218">
        <f>-M674</f>
        <v>0</v>
      </c>
      <c r="N665" s="218">
        <f t="shared" ref="N665:V665" ca="1" si="690">-N674</f>
        <v>0</v>
      </c>
      <c r="O665" s="218">
        <f t="shared" ca="1" si="690"/>
        <v>0</v>
      </c>
      <c r="P665" s="218">
        <f t="shared" ca="1" si="690"/>
        <v>0</v>
      </c>
      <c r="Q665" s="218">
        <f t="shared" ca="1" si="690"/>
        <v>0</v>
      </c>
      <c r="R665" s="218">
        <f t="shared" ca="1" si="690"/>
        <v>0</v>
      </c>
      <c r="S665" s="218">
        <f t="shared" ca="1" si="690"/>
        <v>0</v>
      </c>
      <c r="T665" s="218">
        <f t="shared" ca="1" si="690"/>
        <v>0</v>
      </c>
      <c r="U665" s="218">
        <f t="shared" ca="1" si="690"/>
        <v>0</v>
      </c>
      <c r="V665" s="218">
        <f t="shared" ca="1" si="690"/>
        <v>0</v>
      </c>
    </row>
    <row r="666" spans="2:22" ht="13.5" customHeight="1" outlineLevel="1">
      <c r="B666" s="223" t="s">
        <v>697</v>
      </c>
      <c r="C666" s="223"/>
      <c r="D666" s="223"/>
      <c r="E666" s="223"/>
      <c r="F666" s="223"/>
      <c r="G666" s="223"/>
      <c r="H666" s="223"/>
      <c r="I666" s="223"/>
      <c r="J666" s="223"/>
      <c r="K666" s="223"/>
      <c r="L666" s="223"/>
      <c r="M666" s="218">
        <f>M658</f>
        <v>0</v>
      </c>
      <c r="N666" s="218">
        <f t="shared" ref="N666:V666" ca="1" si="691">N658</f>
        <v>0</v>
      </c>
      <c r="O666" s="218">
        <f t="shared" ca="1" si="691"/>
        <v>0</v>
      </c>
      <c r="P666" s="218">
        <f t="shared" ca="1" si="691"/>
        <v>0</v>
      </c>
      <c r="Q666" s="218">
        <f t="shared" ca="1" si="691"/>
        <v>0</v>
      </c>
      <c r="R666" s="218">
        <f t="shared" ca="1" si="691"/>
        <v>0</v>
      </c>
      <c r="S666" s="218">
        <f t="shared" ca="1" si="691"/>
        <v>0</v>
      </c>
      <c r="T666" s="218">
        <f t="shared" ca="1" si="691"/>
        <v>0</v>
      </c>
      <c r="U666" s="218">
        <f t="shared" ca="1" si="691"/>
        <v>0</v>
      </c>
      <c r="V666" s="218">
        <f t="shared" ca="1" si="691"/>
        <v>0</v>
      </c>
    </row>
    <row r="667" spans="2:22" ht="13.5" customHeight="1" outlineLevel="1">
      <c r="B667" s="223" t="s">
        <v>698</v>
      </c>
      <c r="C667" s="223"/>
      <c r="D667" s="223"/>
      <c r="E667" s="223"/>
      <c r="F667" s="223"/>
      <c r="G667" s="223"/>
      <c r="H667" s="223"/>
      <c r="I667" s="223"/>
      <c r="J667" s="223"/>
      <c r="K667" s="223"/>
      <c r="L667" s="223"/>
      <c r="M667" s="218">
        <f>M659</f>
        <v>0</v>
      </c>
      <c r="N667" s="218">
        <f t="shared" ref="N667:V667" ca="1" si="692">N659</f>
        <v>0</v>
      </c>
      <c r="O667" s="218">
        <f t="shared" ca="1" si="692"/>
        <v>0</v>
      </c>
      <c r="P667" s="218">
        <f t="shared" ca="1" si="692"/>
        <v>0</v>
      </c>
      <c r="Q667" s="218">
        <f t="shared" ca="1" si="692"/>
        <v>0</v>
      </c>
      <c r="R667" s="218">
        <f t="shared" ca="1" si="692"/>
        <v>0</v>
      </c>
      <c r="S667" s="218">
        <f t="shared" ca="1" si="692"/>
        <v>0</v>
      </c>
      <c r="T667" s="218">
        <f t="shared" ca="1" si="692"/>
        <v>0</v>
      </c>
      <c r="U667" s="218">
        <f t="shared" ca="1" si="692"/>
        <v>0</v>
      </c>
      <c r="V667" s="218">
        <f t="shared" ca="1" si="692"/>
        <v>0</v>
      </c>
    </row>
    <row r="668" spans="2:22" ht="13.5" customHeight="1" outlineLevel="1">
      <c r="B668" s="223" t="s">
        <v>699</v>
      </c>
      <c r="C668" s="223"/>
      <c r="D668" s="223"/>
      <c r="E668" s="223"/>
      <c r="F668" s="223"/>
      <c r="G668" s="223"/>
      <c r="H668" s="223"/>
      <c r="I668" s="223"/>
      <c r="J668" s="223"/>
      <c r="K668" s="223"/>
      <c r="L668" s="223"/>
      <c r="M668" s="218">
        <f ca="1">M660</f>
        <v>0</v>
      </c>
      <c r="N668" s="218">
        <f t="shared" ref="N668:V668" ca="1" si="693">N660</f>
        <v>0</v>
      </c>
      <c r="O668" s="218">
        <f t="shared" ca="1" si="693"/>
        <v>0</v>
      </c>
      <c r="P668" s="218">
        <f t="shared" ca="1" si="693"/>
        <v>0</v>
      </c>
      <c r="Q668" s="218">
        <f t="shared" ca="1" si="693"/>
        <v>0</v>
      </c>
      <c r="R668" s="218">
        <f t="shared" ca="1" si="693"/>
        <v>0</v>
      </c>
      <c r="S668" s="218">
        <f t="shared" ca="1" si="693"/>
        <v>0</v>
      </c>
      <c r="T668" s="218">
        <f t="shared" ca="1" si="693"/>
        <v>0</v>
      </c>
      <c r="U668" s="218">
        <f t="shared" ca="1" si="693"/>
        <v>0</v>
      </c>
      <c r="V668" s="218">
        <f t="shared" ca="1" si="693"/>
        <v>0</v>
      </c>
    </row>
    <row r="669" spans="2:22" ht="13.5" customHeight="1" outlineLevel="1">
      <c r="B669" s="223" t="s">
        <v>702</v>
      </c>
      <c r="C669" s="223"/>
      <c r="D669" s="223"/>
      <c r="E669" s="223"/>
      <c r="F669" s="223"/>
      <c r="G669" s="223"/>
      <c r="H669" s="223"/>
      <c r="I669" s="223"/>
      <c r="J669" s="223"/>
      <c r="K669" s="223"/>
      <c r="L669" s="223"/>
      <c r="M669" s="218">
        <f ca="1">-M675</f>
        <v>0</v>
      </c>
      <c r="N669" s="218">
        <f t="shared" ref="N669:V669" ca="1" si="694">-N675</f>
        <v>0</v>
      </c>
      <c r="O669" s="218">
        <f t="shared" ca="1" si="694"/>
        <v>0</v>
      </c>
      <c r="P669" s="218">
        <f t="shared" ca="1" si="694"/>
        <v>0</v>
      </c>
      <c r="Q669" s="218">
        <f t="shared" ca="1" si="694"/>
        <v>0</v>
      </c>
      <c r="R669" s="218">
        <f t="shared" ca="1" si="694"/>
        <v>0</v>
      </c>
      <c r="S669" s="218">
        <f t="shared" ca="1" si="694"/>
        <v>0</v>
      </c>
      <c r="T669" s="218">
        <f t="shared" ca="1" si="694"/>
        <v>0</v>
      </c>
      <c r="U669" s="218">
        <f t="shared" ca="1" si="694"/>
        <v>0</v>
      </c>
      <c r="V669" s="218">
        <f t="shared" ca="1" si="694"/>
        <v>0</v>
      </c>
    </row>
    <row r="670" spans="2:22" ht="13.5" customHeight="1" outlineLevel="1">
      <c r="B670" s="279" t="s">
        <v>467</v>
      </c>
      <c r="C670" s="279"/>
      <c r="D670" s="279"/>
      <c r="E670" s="279"/>
      <c r="F670" s="279"/>
      <c r="G670" s="279"/>
      <c r="H670" s="279"/>
      <c r="I670" s="279"/>
      <c r="J670" s="279"/>
      <c r="K670" s="279"/>
      <c r="L670" s="280">
        <f>L661*(1-$O1306)</f>
        <v>0</v>
      </c>
      <c r="M670" s="286">
        <f ca="1">SUM(M664:M669)</f>
        <v>0</v>
      </c>
      <c r="N670" s="286">
        <f t="shared" ref="N670" ca="1" si="695">SUM(N664:N669)</f>
        <v>0</v>
      </c>
      <c r="O670" s="286">
        <f t="shared" ref="O670" ca="1" si="696">SUM(O664:O669)</f>
        <v>0</v>
      </c>
      <c r="P670" s="286">
        <f t="shared" ref="P670" ca="1" si="697">SUM(P664:P669)</f>
        <v>0</v>
      </c>
      <c r="Q670" s="286">
        <f t="shared" ref="Q670" ca="1" si="698">SUM(Q664:Q669)</f>
        <v>0</v>
      </c>
      <c r="R670" s="286">
        <f t="shared" ref="R670" ca="1" si="699">SUM(R664:R669)</f>
        <v>0</v>
      </c>
      <c r="S670" s="286">
        <f t="shared" ref="S670" ca="1" si="700">SUM(S664:S669)</f>
        <v>0</v>
      </c>
      <c r="T670" s="286">
        <f t="shared" ref="T670" ca="1" si="701">SUM(T664:T669)</f>
        <v>0</v>
      </c>
      <c r="U670" s="286">
        <f t="shared" ref="U670" ca="1" si="702">SUM(U664:U669)</f>
        <v>0</v>
      </c>
      <c r="V670" s="286">
        <f t="shared" ref="V670" ca="1" si="703">SUM(V664:V669)</f>
        <v>0</v>
      </c>
    </row>
    <row r="671" spans="2:22" ht="13.5" customHeight="1" outlineLevel="1">
      <c r="B671" s="223"/>
      <c r="C671" s="223"/>
      <c r="D671" s="223"/>
      <c r="E671" s="223"/>
      <c r="F671" s="223"/>
      <c r="G671" s="223"/>
      <c r="H671" s="223"/>
      <c r="I671" s="223"/>
      <c r="J671" s="223"/>
      <c r="K671" s="223"/>
      <c r="L671" s="223"/>
      <c r="M671" s="282"/>
      <c r="N671" s="282"/>
      <c r="O671" s="282"/>
      <c r="P671" s="282"/>
      <c r="Q671" s="282"/>
      <c r="R671" s="282"/>
      <c r="S671" s="282"/>
      <c r="T671" s="282"/>
      <c r="U671" s="282"/>
      <c r="V671" s="282"/>
    </row>
    <row r="672" spans="2:22" ht="13.5" customHeight="1" outlineLevel="1">
      <c r="B672" s="284" t="s">
        <v>703</v>
      </c>
      <c r="C672" s="223"/>
      <c r="D672" s="223"/>
      <c r="E672" s="223"/>
      <c r="F672" s="223"/>
      <c r="G672" s="223"/>
      <c r="H672" s="223"/>
      <c r="I672" s="223"/>
      <c r="J672" s="223"/>
      <c r="K672" s="223"/>
      <c r="L672" s="223"/>
      <c r="M672" s="282"/>
      <c r="N672" s="282"/>
      <c r="O672" s="282"/>
      <c r="P672" s="282"/>
      <c r="Q672" s="282"/>
      <c r="R672" s="282"/>
      <c r="S672" s="282"/>
      <c r="T672" s="282"/>
      <c r="U672" s="282"/>
      <c r="V672" s="282"/>
    </row>
    <row r="673" spans="2:22" ht="13.5" customHeight="1" outlineLevel="1">
      <c r="B673" s="223" t="s">
        <v>466</v>
      </c>
      <c r="C673" s="223"/>
      <c r="D673" s="223"/>
      <c r="E673" s="223"/>
      <c r="F673" s="223"/>
      <c r="G673" s="223"/>
      <c r="H673" s="223"/>
      <c r="I673" s="223"/>
      <c r="J673" s="223"/>
      <c r="K673" s="223"/>
      <c r="L673" s="223"/>
      <c r="M673" s="214">
        <f>L676</f>
        <v>0</v>
      </c>
      <c r="N673" s="214">
        <f ca="1">M676</f>
        <v>0</v>
      </c>
      <c r="O673" s="214">
        <f t="shared" ref="O673:V673" ca="1" si="704">N676</f>
        <v>0</v>
      </c>
      <c r="P673" s="214">
        <f t="shared" ca="1" si="704"/>
        <v>0</v>
      </c>
      <c r="Q673" s="214">
        <f t="shared" ca="1" si="704"/>
        <v>0</v>
      </c>
      <c r="R673" s="214">
        <f t="shared" ca="1" si="704"/>
        <v>0</v>
      </c>
      <c r="S673" s="214">
        <f t="shared" ca="1" si="704"/>
        <v>0</v>
      </c>
      <c r="T673" s="214">
        <f t="shared" ca="1" si="704"/>
        <v>0</v>
      </c>
      <c r="U673" s="214">
        <f t="shared" ca="1" si="704"/>
        <v>0</v>
      </c>
      <c r="V673" s="214">
        <f t="shared" ca="1" si="704"/>
        <v>0</v>
      </c>
    </row>
    <row r="674" spans="2:22" ht="13.5" customHeight="1" outlineLevel="1">
      <c r="B674" s="223" t="s">
        <v>704</v>
      </c>
      <c r="C674" s="223"/>
      <c r="D674" s="223"/>
      <c r="E674" s="223"/>
      <c r="F674" s="223"/>
      <c r="G674" s="223"/>
      <c r="H674" s="223"/>
      <c r="I674" s="223"/>
      <c r="J674" s="223"/>
      <c r="K674" s="223"/>
      <c r="L674" s="223"/>
      <c r="M674" s="218">
        <f t="shared" ref="M674:V674" si="705">IFERROR(-MIN(M673/L451*M$148,M673),0)</f>
        <v>0</v>
      </c>
      <c r="N674" s="218">
        <f t="shared" ca="1" si="705"/>
        <v>0</v>
      </c>
      <c r="O674" s="218">
        <f t="shared" ca="1" si="705"/>
        <v>0</v>
      </c>
      <c r="P674" s="218">
        <f t="shared" ca="1" si="705"/>
        <v>0</v>
      </c>
      <c r="Q674" s="218">
        <f t="shared" ca="1" si="705"/>
        <v>0</v>
      </c>
      <c r="R674" s="218">
        <f t="shared" ca="1" si="705"/>
        <v>0</v>
      </c>
      <c r="S674" s="218">
        <f t="shared" ca="1" si="705"/>
        <v>0</v>
      </c>
      <c r="T674" s="218">
        <f t="shared" ca="1" si="705"/>
        <v>0</v>
      </c>
      <c r="U674" s="218">
        <f t="shared" ca="1" si="705"/>
        <v>0</v>
      </c>
      <c r="V674" s="218">
        <f t="shared" ca="1" si="705"/>
        <v>0</v>
      </c>
    </row>
    <row r="675" spans="2:22" ht="13.5" customHeight="1" outlineLevel="1">
      <c r="B675" s="223" t="s">
        <v>448</v>
      </c>
      <c r="C675" s="223"/>
      <c r="D675" s="223"/>
      <c r="E675" s="223"/>
      <c r="F675" s="223"/>
      <c r="G675" s="223"/>
      <c r="H675" s="223"/>
      <c r="I675" s="223"/>
      <c r="J675" s="223"/>
      <c r="K675" s="223"/>
      <c r="L675" s="223"/>
      <c r="M675" s="218">
        <f ca="1">IFERROR(SUM(M673:M674)*SUM(M659:M660)/L661,0)</f>
        <v>0</v>
      </c>
      <c r="N675" s="218">
        <f t="shared" ref="N675" ca="1" si="706">IFERROR(SUM(N673:N674)*SUM(N659:N660)/M661,0)</f>
        <v>0</v>
      </c>
      <c r="O675" s="218">
        <f t="shared" ref="O675" ca="1" si="707">IFERROR(SUM(O673:O674)*SUM(O659:O660)/N661,0)</f>
        <v>0</v>
      </c>
      <c r="P675" s="218">
        <f t="shared" ref="P675" ca="1" si="708">IFERROR(SUM(P673:P674)*SUM(P659:P660)/O661,0)</f>
        <v>0</v>
      </c>
      <c r="Q675" s="218">
        <f t="shared" ref="Q675" ca="1" si="709">IFERROR(SUM(Q673:Q674)*SUM(Q659:Q660)/P661,0)</f>
        <v>0</v>
      </c>
      <c r="R675" s="218">
        <f t="shared" ref="R675" ca="1" si="710">IFERROR(SUM(R673:R674)*SUM(R659:R660)/Q661,0)</f>
        <v>0</v>
      </c>
      <c r="S675" s="218">
        <f t="shared" ref="S675" ca="1" si="711">IFERROR(SUM(S673:S674)*SUM(S659:S660)/R661,0)</f>
        <v>0</v>
      </c>
      <c r="T675" s="218">
        <f t="shared" ref="T675" ca="1" si="712">IFERROR(SUM(T673:T674)*SUM(T659:T660)/S661,0)</f>
        <v>0</v>
      </c>
      <c r="U675" s="218">
        <f t="shared" ref="U675" ca="1" si="713">IFERROR(SUM(U673:U674)*SUM(U659:U660)/T661,0)</f>
        <v>0</v>
      </c>
      <c r="V675" s="218">
        <f t="shared" ref="V675" ca="1" si="714">IFERROR(SUM(V673:V674)*SUM(V659:V660)/U661,0)</f>
        <v>0</v>
      </c>
    </row>
    <row r="676" spans="2:22" ht="13.5" customHeight="1" outlineLevel="1">
      <c r="B676" s="279" t="s">
        <v>467</v>
      </c>
      <c r="C676" s="279"/>
      <c r="D676" s="279"/>
      <c r="E676" s="279"/>
      <c r="F676" s="279"/>
      <c r="G676" s="279"/>
      <c r="H676" s="279"/>
      <c r="I676" s="279"/>
      <c r="J676" s="279"/>
      <c r="K676" s="279"/>
      <c r="L676" s="280">
        <f>M1258*O1306</f>
        <v>0</v>
      </c>
      <c r="M676" s="286">
        <f ca="1">SUM(M673:M675)</f>
        <v>0</v>
      </c>
      <c r="N676" s="286">
        <f ca="1">SUM(N673:N675)</f>
        <v>0</v>
      </c>
      <c r="O676" s="286">
        <f t="shared" ref="O676" ca="1" si="715">SUM(O673:O675)</f>
        <v>0</v>
      </c>
      <c r="P676" s="286">
        <f t="shared" ref="P676" ca="1" si="716">SUM(P673:P675)</f>
        <v>0</v>
      </c>
      <c r="Q676" s="286">
        <f t="shared" ref="Q676" ca="1" si="717">SUM(Q673:Q675)</f>
        <v>0</v>
      </c>
      <c r="R676" s="286">
        <f t="shared" ref="R676" ca="1" si="718">SUM(R673:R675)</f>
        <v>0</v>
      </c>
      <c r="S676" s="286">
        <f t="shared" ref="S676" ca="1" si="719">SUM(S673:S675)</f>
        <v>0</v>
      </c>
      <c r="T676" s="286">
        <f t="shared" ref="T676" ca="1" si="720">SUM(T673:T675)</f>
        <v>0</v>
      </c>
      <c r="U676" s="286">
        <f t="shared" ref="U676" ca="1" si="721">SUM(U673:U675)</f>
        <v>0</v>
      </c>
      <c r="V676" s="286">
        <f t="shared" ref="V676" ca="1" si="722">SUM(V673:V675)</f>
        <v>0</v>
      </c>
    </row>
    <row r="677" spans="2:22" ht="13.5" customHeight="1" outlineLevel="1">
      <c r="B677" s="223"/>
      <c r="C677" s="223"/>
      <c r="D677" s="223"/>
      <c r="E677" s="223"/>
      <c r="F677" s="223"/>
      <c r="G677" s="223"/>
      <c r="H677" s="223"/>
      <c r="I677" s="223"/>
      <c r="J677" s="223"/>
      <c r="K677" s="223"/>
      <c r="L677" s="283"/>
      <c r="M677" s="285"/>
      <c r="N677" s="285"/>
      <c r="O677" s="285"/>
      <c r="P677" s="285"/>
      <c r="Q677" s="285"/>
      <c r="R677" s="285"/>
      <c r="S677" s="285"/>
      <c r="T677" s="285"/>
      <c r="U677" s="285"/>
      <c r="V677" s="285"/>
    </row>
    <row r="678" spans="2:22" ht="13.5" customHeight="1" outlineLevel="1">
      <c r="B678" s="284" t="s">
        <v>147</v>
      </c>
      <c r="C678" s="223"/>
      <c r="D678" s="223"/>
      <c r="E678" s="223"/>
      <c r="F678" s="223"/>
      <c r="G678" s="223"/>
      <c r="H678" s="223"/>
      <c r="I678" s="223"/>
      <c r="J678" s="223"/>
      <c r="K678" s="223"/>
      <c r="L678" s="283"/>
      <c r="M678" s="285"/>
      <c r="N678" s="285"/>
      <c r="O678" s="285"/>
      <c r="P678" s="285"/>
      <c r="Q678" s="285"/>
      <c r="R678" s="285"/>
      <c r="S678" s="285"/>
      <c r="T678" s="285"/>
      <c r="U678" s="285"/>
      <c r="V678" s="285"/>
    </row>
    <row r="679" spans="2:22" ht="13.5" customHeight="1" outlineLevel="1">
      <c r="B679" s="223" t="s">
        <v>714</v>
      </c>
      <c r="C679" s="223"/>
      <c r="D679" s="223"/>
      <c r="E679" s="223"/>
      <c r="F679" s="223"/>
      <c r="G679" s="223"/>
      <c r="H679" s="223"/>
      <c r="I679" s="223"/>
      <c r="J679" s="223"/>
      <c r="K679" s="223"/>
      <c r="L679" s="283"/>
      <c r="M679" s="285">
        <f t="shared" ref="M679:V679" si="723">M854*IF(avg_int,AVERAGE(M657,M661),M657)*M$148</f>
        <v>0</v>
      </c>
      <c r="N679" s="285">
        <f t="shared" ca="1" si="723"/>
        <v>0</v>
      </c>
      <c r="O679" s="285">
        <f t="shared" ca="1" si="723"/>
        <v>0</v>
      </c>
      <c r="P679" s="285">
        <f t="shared" ca="1" si="723"/>
        <v>0</v>
      </c>
      <c r="Q679" s="285">
        <f t="shared" ca="1" si="723"/>
        <v>0</v>
      </c>
      <c r="R679" s="285">
        <f t="shared" ca="1" si="723"/>
        <v>0</v>
      </c>
      <c r="S679" s="285">
        <f t="shared" ca="1" si="723"/>
        <v>0</v>
      </c>
      <c r="T679" s="285">
        <f t="shared" ca="1" si="723"/>
        <v>0</v>
      </c>
      <c r="U679" s="285">
        <f t="shared" ca="1" si="723"/>
        <v>0</v>
      </c>
      <c r="V679" s="285">
        <f t="shared" ca="1" si="723"/>
        <v>0</v>
      </c>
    </row>
    <row r="680" spans="2:22" ht="13.5" customHeight="1" outlineLevel="1">
      <c r="B680" s="223" t="s">
        <v>701</v>
      </c>
      <c r="C680" s="223"/>
      <c r="D680" s="223"/>
      <c r="E680" s="223"/>
      <c r="F680" s="223"/>
      <c r="G680" s="223"/>
      <c r="H680" s="223"/>
      <c r="I680" s="223"/>
      <c r="J680" s="223"/>
      <c r="K680" s="223"/>
      <c r="L680" s="283"/>
      <c r="M680" s="218">
        <f>-M674</f>
        <v>0</v>
      </c>
      <c r="N680" s="218">
        <f t="shared" ref="N680:V680" ca="1" si="724">-N674</f>
        <v>0</v>
      </c>
      <c r="O680" s="218">
        <f t="shared" ca="1" si="724"/>
        <v>0</v>
      </c>
      <c r="P680" s="218">
        <f t="shared" ca="1" si="724"/>
        <v>0</v>
      </c>
      <c r="Q680" s="218">
        <f t="shared" ca="1" si="724"/>
        <v>0</v>
      </c>
      <c r="R680" s="218">
        <f t="shared" ca="1" si="724"/>
        <v>0</v>
      </c>
      <c r="S680" s="218">
        <f t="shared" ca="1" si="724"/>
        <v>0</v>
      </c>
      <c r="T680" s="218">
        <f t="shared" ca="1" si="724"/>
        <v>0</v>
      </c>
      <c r="U680" s="218">
        <f t="shared" ca="1" si="724"/>
        <v>0</v>
      </c>
      <c r="V680" s="218">
        <f t="shared" ca="1" si="724"/>
        <v>0</v>
      </c>
    </row>
    <row r="681" spans="2:22" ht="13.5" customHeight="1" outlineLevel="1">
      <c r="B681" s="279" t="s">
        <v>715</v>
      </c>
      <c r="C681" s="279"/>
      <c r="D681" s="279"/>
      <c r="E681" s="279"/>
      <c r="F681" s="279"/>
      <c r="G681" s="279"/>
      <c r="H681" s="279"/>
      <c r="I681" s="279"/>
      <c r="J681" s="279"/>
      <c r="K681" s="279"/>
      <c r="L681" s="280"/>
      <c r="M681" s="286">
        <f>SUM(M679:M680)</f>
        <v>0</v>
      </c>
      <c r="N681" s="286">
        <f t="shared" ref="N681" ca="1" si="725">SUM(N679:N680)</f>
        <v>0</v>
      </c>
      <c r="O681" s="286">
        <f t="shared" ref="O681" ca="1" si="726">SUM(O679:O680)</f>
        <v>0</v>
      </c>
      <c r="P681" s="286">
        <f t="shared" ref="P681" ca="1" si="727">SUM(P679:P680)</f>
        <v>0</v>
      </c>
      <c r="Q681" s="286">
        <f t="shared" ref="Q681" ca="1" si="728">SUM(Q679:Q680)</f>
        <v>0</v>
      </c>
      <c r="R681" s="286">
        <f t="shared" ref="R681" ca="1" si="729">SUM(R679:R680)</f>
        <v>0</v>
      </c>
      <c r="S681" s="286">
        <f t="shared" ref="S681" ca="1" si="730">SUM(S679:S680)</f>
        <v>0</v>
      </c>
      <c r="T681" s="286">
        <f t="shared" ref="T681" ca="1" si="731">SUM(T679:T680)</f>
        <v>0</v>
      </c>
      <c r="U681" s="286">
        <f t="shared" ref="U681" ca="1" si="732">SUM(U679:U680)</f>
        <v>0</v>
      </c>
      <c r="V681" s="286">
        <f t="shared" ref="V681" ca="1" si="733">SUM(V679:V680)</f>
        <v>0</v>
      </c>
    </row>
    <row r="682" spans="2:22" ht="5.0999999999999996" customHeight="1" outlineLevel="1" thickBot="1">
      <c r="B682" s="152"/>
      <c r="C682" s="152"/>
      <c r="D682" s="152"/>
      <c r="E682" s="152"/>
      <c r="F682" s="152"/>
      <c r="G682" s="152"/>
      <c r="H682" s="152"/>
      <c r="I682" s="152"/>
      <c r="J682" s="152"/>
      <c r="K682" s="152"/>
      <c r="L682" s="152"/>
      <c r="M682" s="287"/>
      <c r="N682" s="287"/>
      <c r="O682" s="287"/>
      <c r="P682" s="287"/>
      <c r="Q682" s="287"/>
      <c r="R682" s="287"/>
      <c r="S682" s="287"/>
      <c r="T682" s="287"/>
      <c r="U682" s="287"/>
      <c r="V682" s="287"/>
    </row>
    <row r="683" spans="2:22" ht="13.5" customHeight="1" outlineLevel="1">
      <c r="M683" s="190"/>
      <c r="N683" s="190"/>
      <c r="O683" s="190"/>
      <c r="P683" s="190"/>
      <c r="Q683" s="190"/>
      <c r="R683" s="190"/>
      <c r="S683" s="190"/>
      <c r="T683" s="190"/>
      <c r="U683" s="190"/>
      <c r="V683" s="190"/>
    </row>
    <row r="684" spans="2:22" ht="13.5" customHeight="1" outlineLevel="1">
      <c r="B684" s="273" t="str">
        <f>B1259</f>
        <v>Seller note</v>
      </c>
      <c r="C684" s="274"/>
      <c r="D684" s="274"/>
      <c r="E684" s="274"/>
      <c r="F684" s="274"/>
      <c r="G684" s="274"/>
      <c r="H684" s="274"/>
      <c r="I684" s="274"/>
      <c r="J684" s="274"/>
      <c r="K684" s="274"/>
      <c r="L684" s="274"/>
      <c r="M684" s="275"/>
      <c r="N684" s="275"/>
      <c r="O684" s="275"/>
      <c r="P684" s="275"/>
      <c r="Q684" s="275"/>
      <c r="R684" s="275"/>
      <c r="S684" s="275"/>
      <c r="T684" s="275"/>
      <c r="U684" s="275"/>
      <c r="V684" s="275"/>
    </row>
    <row r="685" spans="2:22" ht="13.5" customHeight="1" outlineLevel="1">
      <c r="B685" s="284" t="s">
        <v>123</v>
      </c>
      <c r="C685" s="223"/>
      <c r="D685" s="223"/>
      <c r="E685" s="223"/>
      <c r="F685" s="223"/>
      <c r="G685" s="223"/>
      <c r="H685" s="223"/>
      <c r="I685" s="223"/>
      <c r="J685" s="223"/>
      <c r="K685" s="223"/>
      <c r="L685" s="223"/>
      <c r="M685" s="282"/>
      <c r="N685" s="282"/>
      <c r="O685" s="282"/>
      <c r="P685" s="282"/>
      <c r="Q685" s="282"/>
      <c r="R685" s="282"/>
      <c r="S685" s="282"/>
      <c r="T685" s="282"/>
      <c r="U685" s="282"/>
      <c r="V685" s="282"/>
    </row>
    <row r="686" spans="2:22" ht="13.5" customHeight="1" outlineLevel="1">
      <c r="B686" s="223" t="s">
        <v>466</v>
      </c>
      <c r="C686" s="223"/>
      <c r="D686" s="223"/>
      <c r="E686" s="223"/>
      <c r="F686" s="223"/>
      <c r="G686" s="223"/>
      <c r="H686" s="223"/>
      <c r="I686" s="223"/>
      <c r="J686" s="223"/>
      <c r="K686" s="223"/>
      <c r="L686" s="223"/>
      <c r="M686" s="214">
        <f>L690</f>
        <v>0</v>
      </c>
      <c r="N686" s="214">
        <f ca="1">M690</f>
        <v>0</v>
      </c>
      <c r="O686" s="214">
        <f t="shared" ref="O686:V686" ca="1" si="734">N690</f>
        <v>0</v>
      </c>
      <c r="P686" s="214">
        <f t="shared" ca="1" si="734"/>
        <v>0</v>
      </c>
      <c r="Q686" s="214">
        <f t="shared" ca="1" si="734"/>
        <v>0</v>
      </c>
      <c r="R686" s="214">
        <f t="shared" ca="1" si="734"/>
        <v>0</v>
      </c>
      <c r="S686" s="214">
        <f t="shared" ca="1" si="734"/>
        <v>0</v>
      </c>
      <c r="T686" s="214">
        <f t="shared" ca="1" si="734"/>
        <v>0</v>
      </c>
      <c r="U686" s="214">
        <f t="shared" ca="1" si="734"/>
        <v>0</v>
      </c>
      <c r="V686" s="214">
        <f t="shared" ca="1" si="734"/>
        <v>0</v>
      </c>
    </row>
    <row r="687" spans="2:22" ht="13.5" customHeight="1" outlineLevel="1">
      <c r="B687" s="223" t="s">
        <v>697</v>
      </c>
      <c r="C687" s="223"/>
      <c r="D687" s="223"/>
      <c r="E687" s="223"/>
      <c r="F687" s="223"/>
      <c r="G687" s="223"/>
      <c r="H687" s="223"/>
      <c r="I687" s="223"/>
      <c r="J687" s="223"/>
      <c r="K687" s="223"/>
      <c r="L687" s="223"/>
      <c r="M687" s="218">
        <f t="shared" ref="M687:V687" si="735">M885*M868</f>
        <v>0</v>
      </c>
      <c r="N687" s="218">
        <f t="shared" ca="1" si="735"/>
        <v>0</v>
      </c>
      <c r="O687" s="218">
        <f t="shared" ca="1" si="735"/>
        <v>0</v>
      </c>
      <c r="P687" s="218">
        <f t="shared" ca="1" si="735"/>
        <v>0</v>
      </c>
      <c r="Q687" s="218">
        <f t="shared" ca="1" si="735"/>
        <v>0</v>
      </c>
      <c r="R687" s="218">
        <f t="shared" ca="1" si="735"/>
        <v>0</v>
      </c>
      <c r="S687" s="218">
        <f t="shared" ca="1" si="735"/>
        <v>0</v>
      </c>
      <c r="T687" s="218">
        <f t="shared" ca="1" si="735"/>
        <v>0</v>
      </c>
      <c r="U687" s="218">
        <f t="shared" ca="1" si="735"/>
        <v>0</v>
      </c>
      <c r="V687" s="218">
        <f t="shared" ca="1" si="735"/>
        <v>0</v>
      </c>
    </row>
    <row r="688" spans="2:22" ht="13.5" customHeight="1" outlineLevel="1">
      <c r="B688" s="223" t="s">
        <v>698</v>
      </c>
      <c r="C688" s="223"/>
      <c r="D688" s="223"/>
      <c r="E688" s="223"/>
      <c r="F688" s="223"/>
      <c r="G688" s="223"/>
      <c r="H688" s="223"/>
      <c r="I688" s="223"/>
      <c r="J688" s="223"/>
      <c r="K688" s="223"/>
      <c r="L688" s="223"/>
      <c r="M688" s="218">
        <f t="shared" ref="M688:V688" si="736">-MIN(M686,M439*$L690)</f>
        <v>0</v>
      </c>
      <c r="N688" s="218">
        <f t="shared" ca="1" si="736"/>
        <v>0</v>
      </c>
      <c r="O688" s="218">
        <f t="shared" ca="1" si="736"/>
        <v>0</v>
      </c>
      <c r="P688" s="218">
        <f t="shared" ca="1" si="736"/>
        <v>0</v>
      </c>
      <c r="Q688" s="218">
        <f t="shared" ca="1" si="736"/>
        <v>0</v>
      </c>
      <c r="R688" s="218">
        <f t="shared" ca="1" si="736"/>
        <v>0</v>
      </c>
      <c r="S688" s="218">
        <f t="shared" ca="1" si="736"/>
        <v>0</v>
      </c>
      <c r="T688" s="218">
        <f t="shared" ca="1" si="736"/>
        <v>0</v>
      </c>
      <c r="U688" s="218">
        <f t="shared" ca="1" si="736"/>
        <v>0</v>
      </c>
      <c r="V688" s="218">
        <f t="shared" ca="1" si="736"/>
        <v>0</v>
      </c>
    </row>
    <row r="689" spans="2:22" ht="13.5" customHeight="1" outlineLevel="1">
      <c r="B689" s="223" t="s">
        <v>699</v>
      </c>
      <c r="C689" s="223"/>
      <c r="D689" s="223"/>
      <c r="E689" s="223"/>
      <c r="F689" s="223"/>
      <c r="G689" s="223"/>
      <c r="H689" s="223"/>
      <c r="I689" s="223"/>
      <c r="J689" s="223"/>
      <c r="K689" s="223"/>
      <c r="L689" s="223"/>
      <c r="M689" s="218">
        <f t="shared" ref="M689:V689" ca="1" si="737">M486</f>
        <v>0</v>
      </c>
      <c r="N689" s="218">
        <f t="shared" ca="1" si="737"/>
        <v>0</v>
      </c>
      <c r="O689" s="218">
        <f t="shared" ca="1" si="737"/>
        <v>0</v>
      </c>
      <c r="P689" s="218">
        <f t="shared" ca="1" si="737"/>
        <v>0</v>
      </c>
      <c r="Q689" s="218">
        <f t="shared" ca="1" si="737"/>
        <v>0</v>
      </c>
      <c r="R689" s="218">
        <f t="shared" ca="1" si="737"/>
        <v>0</v>
      </c>
      <c r="S689" s="218">
        <f t="shared" ca="1" si="737"/>
        <v>0</v>
      </c>
      <c r="T689" s="218">
        <f t="shared" ca="1" si="737"/>
        <v>0</v>
      </c>
      <c r="U689" s="218">
        <f t="shared" ca="1" si="737"/>
        <v>0</v>
      </c>
      <c r="V689" s="218">
        <f t="shared" ca="1" si="737"/>
        <v>0</v>
      </c>
    </row>
    <row r="690" spans="2:22" ht="13.5" customHeight="1" outlineLevel="1">
      <c r="B690" s="279" t="s">
        <v>467</v>
      </c>
      <c r="C690" s="279"/>
      <c r="D690" s="279"/>
      <c r="E690" s="279"/>
      <c r="F690" s="279"/>
      <c r="G690" s="279"/>
      <c r="H690" s="279"/>
      <c r="I690" s="279"/>
      <c r="J690" s="279"/>
      <c r="K690" s="279"/>
      <c r="L690" s="280">
        <f>M1259</f>
        <v>0</v>
      </c>
      <c r="M690" s="286">
        <f ca="1">SUM(M686:M689)</f>
        <v>0</v>
      </c>
      <c r="N690" s="286">
        <f t="shared" ref="N690" ca="1" si="738">SUM(N686:N689)</f>
        <v>0</v>
      </c>
      <c r="O690" s="286">
        <f t="shared" ref="O690" ca="1" si="739">SUM(O686:O689)</f>
        <v>0</v>
      </c>
      <c r="P690" s="286">
        <f t="shared" ref="P690" ca="1" si="740">SUM(P686:P689)</f>
        <v>0</v>
      </c>
      <c r="Q690" s="286">
        <f t="shared" ref="Q690" ca="1" si="741">SUM(Q686:Q689)</f>
        <v>0</v>
      </c>
      <c r="R690" s="286">
        <f t="shared" ref="R690" ca="1" si="742">SUM(R686:R689)</f>
        <v>0</v>
      </c>
      <c r="S690" s="286">
        <f t="shared" ref="S690" ca="1" si="743">SUM(S686:S689)</f>
        <v>0</v>
      </c>
      <c r="T690" s="286">
        <f t="shared" ref="T690" ca="1" si="744">SUM(T686:T689)</f>
        <v>0</v>
      </c>
      <c r="U690" s="286">
        <f t="shared" ref="U690" ca="1" si="745">SUM(U686:U689)</f>
        <v>0</v>
      </c>
      <c r="V690" s="286">
        <f t="shared" ref="V690" ca="1" si="746">SUM(V686:V689)</f>
        <v>0</v>
      </c>
    </row>
    <row r="691" spans="2:22" ht="13.5" customHeight="1" outlineLevel="1">
      <c r="B691" s="223"/>
      <c r="C691" s="223"/>
      <c r="D691" s="223"/>
      <c r="E691" s="223"/>
      <c r="F691" s="223"/>
      <c r="G691" s="223"/>
      <c r="H691" s="223"/>
      <c r="I691" s="223"/>
      <c r="J691" s="223"/>
      <c r="K691" s="223"/>
      <c r="L691" s="223"/>
      <c r="M691" s="282"/>
      <c r="N691" s="282"/>
      <c r="O691" s="282"/>
      <c r="P691" s="282"/>
      <c r="Q691" s="282"/>
      <c r="R691" s="282"/>
      <c r="S691" s="282"/>
      <c r="T691" s="282"/>
      <c r="U691" s="282"/>
      <c r="V691" s="282"/>
    </row>
    <row r="692" spans="2:22" ht="13.5" customHeight="1" outlineLevel="1">
      <c r="B692" s="284" t="s">
        <v>700</v>
      </c>
      <c r="C692" s="223"/>
      <c r="D692" s="223"/>
      <c r="E692" s="223"/>
      <c r="F692" s="223"/>
      <c r="G692" s="223"/>
      <c r="H692" s="223"/>
      <c r="I692" s="223"/>
      <c r="J692" s="223"/>
      <c r="K692" s="223"/>
      <c r="L692" s="223"/>
      <c r="M692" s="282"/>
      <c r="N692" s="282"/>
      <c r="O692" s="282"/>
      <c r="P692" s="282"/>
      <c r="Q692" s="282"/>
      <c r="R692" s="282"/>
      <c r="S692" s="282"/>
      <c r="T692" s="282"/>
      <c r="U692" s="282"/>
      <c r="V692" s="282"/>
    </row>
    <row r="693" spans="2:22" ht="13.5" customHeight="1" outlineLevel="1">
      <c r="B693" s="223" t="s">
        <v>466</v>
      </c>
      <c r="C693" s="223"/>
      <c r="D693" s="223"/>
      <c r="E693" s="223"/>
      <c r="F693" s="223"/>
      <c r="G693" s="223"/>
      <c r="H693" s="223"/>
      <c r="I693" s="223"/>
      <c r="J693" s="223"/>
      <c r="K693" s="223"/>
      <c r="L693" s="223"/>
      <c r="M693" s="214">
        <f>L699</f>
        <v>0</v>
      </c>
      <c r="N693" s="214">
        <f ca="1">M699</f>
        <v>0</v>
      </c>
      <c r="O693" s="214">
        <f t="shared" ref="O693:V693" ca="1" si="747">N699</f>
        <v>0</v>
      </c>
      <c r="P693" s="214">
        <f t="shared" ca="1" si="747"/>
        <v>0</v>
      </c>
      <c r="Q693" s="214">
        <f t="shared" ca="1" si="747"/>
        <v>0</v>
      </c>
      <c r="R693" s="214">
        <f t="shared" ca="1" si="747"/>
        <v>0</v>
      </c>
      <c r="S693" s="214">
        <f t="shared" ca="1" si="747"/>
        <v>0</v>
      </c>
      <c r="T693" s="214">
        <f t="shared" ca="1" si="747"/>
        <v>0</v>
      </c>
      <c r="U693" s="214">
        <f t="shared" ca="1" si="747"/>
        <v>0</v>
      </c>
      <c r="V693" s="214">
        <f t="shared" ca="1" si="747"/>
        <v>0</v>
      </c>
    </row>
    <row r="694" spans="2:22" ht="13.5" customHeight="1" outlineLevel="1">
      <c r="B694" s="223" t="s">
        <v>701</v>
      </c>
      <c r="C694" s="223"/>
      <c r="D694" s="223"/>
      <c r="E694" s="223"/>
      <c r="F694" s="223"/>
      <c r="G694" s="223"/>
      <c r="H694" s="223"/>
      <c r="I694" s="223"/>
      <c r="J694" s="223"/>
      <c r="K694" s="223"/>
      <c r="L694" s="223"/>
      <c r="M694" s="218">
        <f>-M703</f>
        <v>0</v>
      </c>
      <c r="N694" s="218">
        <f t="shared" ref="N694:V694" ca="1" si="748">-N703</f>
        <v>0</v>
      </c>
      <c r="O694" s="218">
        <f t="shared" ca="1" si="748"/>
        <v>0</v>
      </c>
      <c r="P694" s="218">
        <f t="shared" ca="1" si="748"/>
        <v>0</v>
      </c>
      <c r="Q694" s="218">
        <f t="shared" ca="1" si="748"/>
        <v>0</v>
      </c>
      <c r="R694" s="218">
        <f t="shared" ca="1" si="748"/>
        <v>0</v>
      </c>
      <c r="S694" s="218">
        <f t="shared" ca="1" si="748"/>
        <v>0</v>
      </c>
      <c r="T694" s="218">
        <f t="shared" ca="1" si="748"/>
        <v>0</v>
      </c>
      <c r="U694" s="218">
        <f t="shared" ca="1" si="748"/>
        <v>0</v>
      </c>
      <c r="V694" s="218">
        <f t="shared" ca="1" si="748"/>
        <v>0</v>
      </c>
    </row>
    <row r="695" spans="2:22" ht="13.5" customHeight="1" outlineLevel="1">
      <c r="B695" s="223" t="s">
        <v>697</v>
      </c>
      <c r="C695" s="223"/>
      <c r="D695" s="223"/>
      <c r="E695" s="223"/>
      <c r="F695" s="223"/>
      <c r="G695" s="223"/>
      <c r="H695" s="223"/>
      <c r="I695" s="223"/>
      <c r="J695" s="223"/>
      <c r="K695" s="223"/>
      <c r="L695" s="223"/>
      <c r="M695" s="218">
        <f>M687</f>
        <v>0</v>
      </c>
      <c r="N695" s="218">
        <f t="shared" ref="N695:V695" ca="1" si="749">N687</f>
        <v>0</v>
      </c>
      <c r="O695" s="218">
        <f t="shared" ca="1" si="749"/>
        <v>0</v>
      </c>
      <c r="P695" s="218">
        <f t="shared" ca="1" si="749"/>
        <v>0</v>
      </c>
      <c r="Q695" s="218">
        <f t="shared" ca="1" si="749"/>
        <v>0</v>
      </c>
      <c r="R695" s="218">
        <f t="shared" ca="1" si="749"/>
        <v>0</v>
      </c>
      <c r="S695" s="218">
        <f t="shared" ca="1" si="749"/>
        <v>0</v>
      </c>
      <c r="T695" s="218">
        <f t="shared" ca="1" si="749"/>
        <v>0</v>
      </c>
      <c r="U695" s="218">
        <f t="shared" ca="1" si="749"/>
        <v>0</v>
      </c>
      <c r="V695" s="218">
        <f t="shared" ca="1" si="749"/>
        <v>0</v>
      </c>
    </row>
    <row r="696" spans="2:22" ht="13.5" customHeight="1" outlineLevel="1">
      <c r="B696" s="223" t="s">
        <v>698</v>
      </c>
      <c r="C696" s="223"/>
      <c r="D696" s="223"/>
      <c r="E696" s="223"/>
      <c r="F696" s="223"/>
      <c r="G696" s="223"/>
      <c r="H696" s="223"/>
      <c r="I696" s="223"/>
      <c r="J696" s="223"/>
      <c r="K696" s="223"/>
      <c r="L696" s="223"/>
      <c r="M696" s="218">
        <f>M688</f>
        <v>0</v>
      </c>
      <c r="N696" s="218">
        <f t="shared" ref="N696:V696" ca="1" si="750">N688</f>
        <v>0</v>
      </c>
      <c r="O696" s="218">
        <f t="shared" ca="1" si="750"/>
        <v>0</v>
      </c>
      <c r="P696" s="218">
        <f t="shared" ca="1" si="750"/>
        <v>0</v>
      </c>
      <c r="Q696" s="218">
        <f t="shared" ca="1" si="750"/>
        <v>0</v>
      </c>
      <c r="R696" s="218">
        <f t="shared" ca="1" si="750"/>
        <v>0</v>
      </c>
      <c r="S696" s="218">
        <f t="shared" ca="1" si="750"/>
        <v>0</v>
      </c>
      <c r="T696" s="218">
        <f t="shared" ca="1" si="750"/>
        <v>0</v>
      </c>
      <c r="U696" s="218">
        <f t="shared" ca="1" si="750"/>
        <v>0</v>
      </c>
      <c r="V696" s="218">
        <f t="shared" ca="1" si="750"/>
        <v>0</v>
      </c>
    </row>
    <row r="697" spans="2:22" ht="13.5" customHeight="1" outlineLevel="1">
      <c r="B697" s="223" t="s">
        <v>699</v>
      </c>
      <c r="C697" s="223"/>
      <c r="D697" s="223"/>
      <c r="E697" s="223"/>
      <c r="F697" s="223"/>
      <c r="G697" s="223"/>
      <c r="H697" s="223"/>
      <c r="I697" s="223"/>
      <c r="J697" s="223"/>
      <c r="K697" s="223"/>
      <c r="L697" s="223"/>
      <c r="M697" s="218">
        <f ca="1">M689</f>
        <v>0</v>
      </c>
      <c r="N697" s="218">
        <f t="shared" ref="N697:V697" ca="1" si="751">N689</f>
        <v>0</v>
      </c>
      <c r="O697" s="218">
        <f t="shared" ca="1" si="751"/>
        <v>0</v>
      </c>
      <c r="P697" s="218">
        <f t="shared" ca="1" si="751"/>
        <v>0</v>
      </c>
      <c r="Q697" s="218">
        <f t="shared" ca="1" si="751"/>
        <v>0</v>
      </c>
      <c r="R697" s="218">
        <f t="shared" ca="1" si="751"/>
        <v>0</v>
      </c>
      <c r="S697" s="218">
        <f t="shared" ca="1" si="751"/>
        <v>0</v>
      </c>
      <c r="T697" s="218">
        <f t="shared" ca="1" si="751"/>
        <v>0</v>
      </c>
      <c r="U697" s="218">
        <f t="shared" ca="1" si="751"/>
        <v>0</v>
      </c>
      <c r="V697" s="218">
        <f t="shared" ca="1" si="751"/>
        <v>0</v>
      </c>
    </row>
    <row r="698" spans="2:22" ht="13.5" customHeight="1" outlineLevel="1">
      <c r="B698" s="223" t="s">
        <v>702</v>
      </c>
      <c r="C698" s="223"/>
      <c r="D698" s="223"/>
      <c r="E698" s="223"/>
      <c r="F698" s="223"/>
      <c r="G698" s="223"/>
      <c r="H698" s="223"/>
      <c r="I698" s="223"/>
      <c r="J698" s="223"/>
      <c r="K698" s="223"/>
      <c r="L698" s="223"/>
      <c r="M698" s="218">
        <f ca="1">-M704</f>
        <v>0</v>
      </c>
      <c r="N698" s="218">
        <f t="shared" ref="N698:V698" ca="1" si="752">-N704</f>
        <v>0</v>
      </c>
      <c r="O698" s="218">
        <f t="shared" ca="1" si="752"/>
        <v>0</v>
      </c>
      <c r="P698" s="218">
        <f t="shared" ca="1" si="752"/>
        <v>0</v>
      </c>
      <c r="Q698" s="218">
        <f t="shared" ca="1" si="752"/>
        <v>0</v>
      </c>
      <c r="R698" s="218">
        <f t="shared" ca="1" si="752"/>
        <v>0</v>
      </c>
      <c r="S698" s="218">
        <f t="shared" ca="1" si="752"/>
        <v>0</v>
      </c>
      <c r="T698" s="218">
        <f t="shared" ca="1" si="752"/>
        <v>0</v>
      </c>
      <c r="U698" s="218">
        <f t="shared" ca="1" si="752"/>
        <v>0</v>
      </c>
      <c r="V698" s="218">
        <f t="shared" ca="1" si="752"/>
        <v>0</v>
      </c>
    </row>
    <row r="699" spans="2:22" ht="13.5" customHeight="1" outlineLevel="1">
      <c r="B699" s="279" t="s">
        <v>467</v>
      </c>
      <c r="C699" s="279"/>
      <c r="D699" s="279"/>
      <c r="E699" s="279"/>
      <c r="F699" s="279"/>
      <c r="G699" s="279"/>
      <c r="H699" s="279"/>
      <c r="I699" s="279"/>
      <c r="J699" s="279"/>
      <c r="K699" s="279"/>
      <c r="L699" s="280">
        <f>L690*(1-$O1307)</f>
        <v>0</v>
      </c>
      <c r="M699" s="286">
        <f ca="1">SUM(M693:M698)</f>
        <v>0</v>
      </c>
      <c r="N699" s="286">
        <f t="shared" ref="N699" ca="1" si="753">SUM(N693:N698)</f>
        <v>0</v>
      </c>
      <c r="O699" s="286">
        <f t="shared" ref="O699" ca="1" si="754">SUM(O693:O698)</f>
        <v>0</v>
      </c>
      <c r="P699" s="286">
        <f t="shared" ref="P699" ca="1" si="755">SUM(P693:P698)</f>
        <v>0</v>
      </c>
      <c r="Q699" s="286">
        <f t="shared" ref="Q699" ca="1" si="756">SUM(Q693:Q698)</f>
        <v>0</v>
      </c>
      <c r="R699" s="286">
        <f t="shared" ref="R699" ca="1" si="757">SUM(R693:R698)</f>
        <v>0</v>
      </c>
      <c r="S699" s="286">
        <f t="shared" ref="S699" ca="1" si="758">SUM(S693:S698)</f>
        <v>0</v>
      </c>
      <c r="T699" s="286">
        <f t="shared" ref="T699" ca="1" si="759">SUM(T693:T698)</f>
        <v>0</v>
      </c>
      <c r="U699" s="286">
        <f t="shared" ref="U699" ca="1" si="760">SUM(U693:U698)</f>
        <v>0</v>
      </c>
      <c r="V699" s="286">
        <f t="shared" ref="V699" ca="1" si="761">SUM(V693:V698)</f>
        <v>0</v>
      </c>
    </row>
    <row r="700" spans="2:22" ht="13.5" customHeight="1" outlineLevel="1">
      <c r="B700" s="223"/>
      <c r="C700" s="223"/>
      <c r="D700" s="223"/>
      <c r="E700" s="223"/>
      <c r="F700" s="223"/>
      <c r="G700" s="223"/>
      <c r="H700" s="223"/>
      <c r="I700" s="223"/>
      <c r="J700" s="223"/>
      <c r="K700" s="223"/>
      <c r="L700" s="223"/>
      <c r="M700" s="282"/>
      <c r="N700" s="282"/>
      <c r="O700" s="282"/>
      <c r="P700" s="282"/>
      <c r="Q700" s="282"/>
      <c r="R700" s="282"/>
      <c r="S700" s="282"/>
      <c r="T700" s="282"/>
      <c r="U700" s="282"/>
      <c r="V700" s="282"/>
    </row>
    <row r="701" spans="2:22" ht="13.5" customHeight="1" outlineLevel="1">
      <c r="B701" s="284" t="s">
        <v>703</v>
      </c>
      <c r="C701" s="223"/>
      <c r="D701" s="223"/>
      <c r="E701" s="223"/>
      <c r="F701" s="223"/>
      <c r="G701" s="223"/>
      <c r="H701" s="223"/>
      <c r="I701" s="223"/>
      <c r="J701" s="223"/>
      <c r="K701" s="223"/>
      <c r="L701" s="223"/>
      <c r="M701" s="282"/>
      <c r="N701" s="282"/>
      <c r="O701" s="282"/>
      <c r="P701" s="282"/>
      <c r="Q701" s="282"/>
      <c r="R701" s="282"/>
      <c r="S701" s="282"/>
      <c r="T701" s="282"/>
      <c r="U701" s="282"/>
      <c r="V701" s="282"/>
    </row>
    <row r="702" spans="2:22" ht="13.5" customHeight="1" outlineLevel="1">
      <c r="B702" s="223" t="s">
        <v>466</v>
      </c>
      <c r="C702" s="223"/>
      <c r="D702" s="223"/>
      <c r="E702" s="223"/>
      <c r="F702" s="223"/>
      <c r="G702" s="223"/>
      <c r="H702" s="223"/>
      <c r="I702" s="223"/>
      <c r="J702" s="223"/>
      <c r="K702" s="223"/>
      <c r="L702" s="223"/>
      <c r="M702" s="214">
        <f>L705</f>
        <v>0</v>
      </c>
      <c r="N702" s="214">
        <f ca="1">M705</f>
        <v>0</v>
      </c>
      <c r="O702" s="214">
        <f t="shared" ref="O702:V702" ca="1" si="762">N705</f>
        <v>0</v>
      </c>
      <c r="P702" s="214">
        <f t="shared" ca="1" si="762"/>
        <v>0</v>
      </c>
      <c r="Q702" s="214">
        <f t="shared" ca="1" si="762"/>
        <v>0</v>
      </c>
      <c r="R702" s="214">
        <f t="shared" ca="1" si="762"/>
        <v>0</v>
      </c>
      <c r="S702" s="214">
        <f t="shared" ca="1" si="762"/>
        <v>0</v>
      </c>
      <c r="T702" s="214">
        <f t="shared" ca="1" si="762"/>
        <v>0</v>
      </c>
      <c r="U702" s="214">
        <f t="shared" ca="1" si="762"/>
        <v>0</v>
      </c>
      <c r="V702" s="214">
        <f t="shared" ca="1" si="762"/>
        <v>0</v>
      </c>
    </row>
    <row r="703" spans="2:22" ht="13.5" customHeight="1" outlineLevel="1">
      <c r="B703" s="223" t="s">
        <v>704</v>
      </c>
      <c r="C703" s="223"/>
      <c r="D703" s="223"/>
      <c r="E703" s="223"/>
      <c r="F703" s="223"/>
      <c r="G703" s="223"/>
      <c r="H703" s="223"/>
      <c r="I703" s="223"/>
      <c r="J703" s="223"/>
      <c r="K703" s="223"/>
      <c r="L703" s="223"/>
      <c r="M703" s="218">
        <f t="shared" ref="M703:V703" si="763">IFERROR(-MIN(M702/L452*M$148,M702),0)</f>
        <v>0</v>
      </c>
      <c r="N703" s="218">
        <f t="shared" ca="1" si="763"/>
        <v>0</v>
      </c>
      <c r="O703" s="218">
        <f t="shared" ca="1" si="763"/>
        <v>0</v>
      </c>
      <c r="P703" s="218">
        <f t="shared" ca="1" si="763"/>
        <v>0</v>
      </c>
      <c r="Q703" s="218">
        <f t="shared" ca="1" si="763"/>
        <v>0</v>
      </c>
      <c r="R703" s="218">
        <f t="shared" ca="1" si="763"/>
        <v>0</v>
      </c>
      <c r="S703" s="218">
        <f t="shared" ca="1" si="763"/>
        <v>0</v>
      </c>
      <c r="T703" s="218">
        <f t="shared" ca="1" si="763"/>
        <v>0</v>
      </c>
      <c r="U703" s="218">
        <f t="shared" ca="1" si="763"/>
        <v>0</v>
      </c>
      <c r="V703" s="218">
        <f t="shared" ca="1" si="763"/>
        <v>0</v>
      </c>
    </row>
    <row r="704" spans="2:22" ht="13.5" customHeight="1" outlineLevel="1">
      <c r="B704" s="223" t="s">
        <v>448</v>
      </c>
      <c r="C704" s="223"/>
      <c r="D704" s="223"/>
      <c r="E704" s="223"/>
      <c r="F704" s="223"/>
      <c r="G704" s="223"/>
      <c r="H704" s="223"/>
      <c r="I704" s="223"/>
      <c r="J704" s="223"/>
      <c r="K704" s="223"/>
      <c r="L704" s="223"/>
      <c r="M704" s="282">
        <f ca="1">IFERROR(SUM(M702:M703)*SUM(M688:M689)/L690,0)</f>
        <v>0</v>
      </c>
      <c r="N704" s="282">
        <f t="shared" ref="N704" ca="1" si="764">IFERROR(SUM(N702:N703)*SUM(N688:N689)/M690,0)</f>
        <v>0</v>
      </c>
      <c r="O704" s="282">
        <f t="shared" ref="O704" ca="1" si="765">IFERROR(SUM(O702:O703)*SUM(O688:O689)/N690,0)</f>
        <v>0</v>
      </c>
      <c r="P704" s="282">
        <f t="shared" ref="P704" ca="1" si="766">IFERROR(SUM(P702:P703)*SUM(P688:P689)/O690,0)</f>
        <v>0</v>
      </c>
      <c r="Q704" s="282">
        <f t="shared" ref="Q704" ca="1" si="767">IFERROR(SUM(Q702:Q703)*SUM(Q688:Q689)/P690,0)</f>
        <v>0</v>
      </c>
      <c r="R704" s="282">
        <f t="shared" ref="R704" ca="1" si="768">IFERROR(SUM(R702:R703)*SUM(R688:R689)/Q690,0)</f>
        <v>0</v>
      </c>
      <c r="S704" s="282">
        <f t="shared" ref="S704" ca="1" si="769">IFERROR(SUM(S702:S703)*SUM(S688:S689)/R690,0)</f>
        <v>0</v>
      </c>
      <c r="T704" s="282">
        <f t="shared" ref="T704" ca="1" si="770">IFERROR(SUM(T702:T703)*SUM(T688:T689)/S690,0)</f>
        <v>0</v>
      </c>
      <c r="U704" s="282">
        <f t="shared" ref="U704" ca="1" si="771">IFERROR(SUM(U702:U703)*SUM(U688:U689)/T690,0)</f>
        <v>0</v>
      </c>
      <c r="V704" s="282">
        <f t="shared" ref="V704" ca="1" si="772">IFERROR(SUM(V702:V703)*SUM(V688:V689)/U690,0)</f>
        <v>0</v>
      </c>
    </row>
    <row r="705" spans="2:22" ht="13.5" customHeight="1" outlineLevel="1">
      <c r="B705" s="279" t="s">
        <v>467</v>
      </c>
      <c r="C705" s="279"/>
      <c r="D705" s="279"/>
      <c r="E705" s="279"/>
      <c r="F705" s="279"/>
      <c r="G705" s="279"/>
      <c r="H705" s="279"/>
      <c r="I705" s="279"/>
      <c r="J705" s="279"/>
      <c r="K705" s="279"/>
      <c r="L705" s="280">
        <f>M1259*O1307</f>
        <v>0</v>
      </c>
      <c r="M705" s="286">
        <f ca="1">SUM(M702:M704)</f>
        <v>0</v>
      </c>
      <c r="N705" s="286">
        <f ca="1">SUM(N702:N704)</f>
        <v>0</v>
      </c>
      <c r="O705" s="286">
        <f t="shared" ref="O705" ca="1" si="773">SUM(O702:O704)</f>
        <v>0</v>
      </c>
      <c r="P705" s="286">
        <f t="shared" ref="P705" ca="1" si="774">SUM(P702:P704)</f>
        <v>0</v>
      </c>
      <c r="Q705" s="286">
        <f t="shared" ref="Q705" ca="1" si="775">SUM(Q702:Q704)</f>
        <v>0</v>
      </c>
      <c r="R705" s="286">
        <f t="shared" ref="R705" ca="1" si="776">SUM(R702:R704)</f>
        <v>0</v>
      </c>
      <c r="S705" s="286">
        <f t="shared" ref="S705" ca="1" si="777">SUM(S702:S704)</f>
        <v>0</v>
      </c>
      <c r="T705" s="286">
        <f t="shared" ref="T705" ca="1" si="778">SUM(T702:T704)</f>
        <v>0</v>
      </c>
      <c r="U705" s="286">
        <f t="shared" ref="U705" ca="1" si="779">SUM(U702:U704)</f>
        <v>0</v>
      </c>
      <c r="V705" s="286">
        <f t="shared" ref="V705" ca="1" si="780">SUM(V702:V704)</f>
        <v>0</v>
      </c>
    </row>
    <row r="706" spans="2:22" ht="13.5" customHeight="1" outlineLevel="1">
      <c r="B706" s="223"/>
      <c r="C706" s="223"/>
      <c r="D706" s="223"/>
      <c r="E706" s="223"/>
      <c r="F706" s="223"/>
      <c r="G706" s="223"/>
      <c r="H706" s="223"/>
      <c r="I706" s="223"/>
      <c r="J706" s="223"/>
      <c r="K706" s="223"/>
      <c r="L706" s="283"/>
      <c r="M706" s="285"/>
      <c r="N706" s="285"/>
      <c r="O706" s="285"/>
      <c r="P706" s="285"/>
      <c r="Q706" s="285"/>
      <c r="R706" s="285"/>
      <c r="S706" s="285"/>
      <c r="T706" s="285"/>
      <c r="U706" s="285"/>
      <c r="V706" s="285"/>
    </row>
    <row r="707" spans="2:22" ht="13.5" customHeight="1" outlineLevel="1">
      <c r="B707" s="284" t="s">
        <v>147</v>
      </c>
      <c r="C707" s="223"/>
      <c r="D707" s="223"/>
      <c r="E707" s="223"/>
      <c r="F707" s="223"/>
      <c r="G707" s="223"/>
      <c r="H707" s="223"/>
      <c r="I707" s="223"/>
      <c r="J707" s="223"/>
      <c r="K707" s="223"/>
      <c r="L707" s="283"/>
      <c r="M707" s="285"/>
      <c r="N707" s="285"/>
      <c r="O707" s="285"/>
      <c r="P707" s="285"/>
      <c r="Q707" s="285"/>
      <c r="R707" s="285"/>
      <c r="S707" s="285"/>
      <c r="T707" s="285"/>
      <c r="U707" s="285"/>
      <c r="V707" s="285"/>
    </row>
    <row r="708" spans="2:22" ht="13.5" customHeight="1" outlineLevel="1">
      <c r="B708" s="223" t="s">
        <v>714</v>
      </c>
      <c r="C708" s="223"/>
      <c r="D708" s="223"/>
      <c r="E708" s="223"/>
      <c r="F708" s="223"/>
      <c r="G708" s="223"/>
      <c r="H708" s="223"/>
      <c r="I708" s="223"/>
      <c r="J708" s="223"/>
      <c r="K708" s="223"/>
      <c r="L708" s="283"/>
      <c r="M708" s="285">
        <f t="shared" ref="M708:V708" si="781">M855*IF(avg_int,AVERAGE(M686,M690),M686)*M$148</f>
        <v>0</v>
      </c>
      <c r="N708" s="285">
        <f t="shared" ca="1" si="781"/>
        <v>0</v>
      </c>
      <c r="O708" s="285">
        <f t="shared" ca="1" si="781"/>
        <v>0</v>
      </c>
      <c r="P708" s="285">
        <f t="shared" ca="1" si="781"/>
        <v>0</v>
      </c>
      <c r="Q708" s="285">
        <f t="shared" ca="1" si="781"/>
        <v>0</v>
      </c>
      <c r="R708" s="285">
        <f t="shared" ca="1" si="781"/>
        <v>0</v>
      </c>
      <c r="S708" s="285">
        <f t="shared" ca="1" si="781"/>
        <v>0</v>
      </c>
      <c r="T708" s="285">
        <f t="shared" ca="1" si="781"/>
        <v>0</v>
      </c>
      <c r="U708" s="285">
        <f t="shared" ca="1" si="781"/>
        <v>0</v>
      </c>
      <c r="V708" s="285">
        <f t="shared" ca="1" si="781"/>
        <v>0</v>
      </c>
    </row>
    <row r="709" spans="2:22" ht="13.5" customHeight="1" outlineLevel="1">
      <c r="B709" s="223" t="s">
        <v>701</v>
      </c>
      <c r="C709" s="223"/>
      <c r="D709" s="223"/>
      <c r="E709" s="223"/>
      <c r="F709" s="223"/>
      <c r="G709" s="223"/>
      <c r="H709" s="223"/>
      <c r="I709" s="223"/>
      <c r="J709" s="223"/>
      <c r="K709" s="223"/>
      <c r="L709" s="283"/>
      <c r="M709" s="218">
        <f>-M703</f>
        <v>0</v>
      </c>
      <c r="N709" s="218">
        <f t="shared" ref="N709:V709" ca="1" si="782">-N703</f>
        <v>0</v>
      </c>
      <c r="O709" s="218">
        <f t="shared" ca="1" si="782"/>
        <v>0</v>
      </c>
      <c r="P709" s="218">
        <f t="shared" ca="1" si="782"/>
        <v>0</v>
      </c>
      <c r="Q709" s="218">
        <f t="shared" ca="1" si="782"/>
        <v>0</v>
      </c>
      <c r="R709" s="218">
        <f t="shared" ca="1" si="782"/>
        <v>0</v>
      </c>
      <c r="S709" s="218">
        <f t="shared" ca="1" si="782"/>
        <v>0</v>
      </c>
      <c r="T709" s="218">
        <f t="shared" ca="1" si="782"/>
        <v>0</v>
      </c>
      <c r="U709" s="218">
        <f t="shared" ca="1" si="782"/>
        <v>0</v>
      </c>
      <c r="V709" s="218">
        <f t="shared" ca="1" si="782"/>
        <v>0</v>
      </c>
    </row>
    <row r="710" spans="2:22" ht="13.5" customHeight="1" outlineLevel="1">
      <c r="B710" s="279" t="s">
        <v>715</v>
      </c>
      <c r="C710" s="279"/>
      <c r="D710" s="279"/>
      <c r="E710" s="279"/>
      <c r="F710" s="279"/>
      <c r="G710" s="279"/>
      <c r="H710" s="279"/>
      <c r="I710" s="279"/>
      <c r="J710" s="279"/>
      <c r="K710" s="279"/>
      <c r="L710" s="280"/>
      <c r="M710" s="286">
        <f>SUM(M708:M709)</f>
        <v>0</v>
      </c>
      <c r="N710" s="286">
        <f t="shared" ref="N710" ca="1" si="783">SUM(N708:N709)</f>
        <v>0</v>
      </c>
      <c r="O710" s="286">
        <f t="shared" ref="O710" ca="1" si="784">SUM(O708:O709)</f>
        <v>0</v>
      </c>
      <c r="P710" s="286">
        <f t="shared" ref="P710" ca="1" si="785">SUM(P708:P709)</f>
        <v>0</v>
      </c>
      <c r="Q710" s="286">
        <f t="shared" ref="Q710" ca="1" si="786">SUM(Q708:Q709)</f>
        <v>0</v>
      </c>
      <c r="R710" s="286">
        <f t="shared" ref="R710" ca="1" si="787">SUM(R708:R709)</f>
        <v>0</v>
      </c>
      <c r="S710" s="286">
        <f t="shared" ref="S710" ca="1" si="788">SUM(S708:S709)</f>
        <v>0</v>
      </c>
      <c r="T710" s="286">
        <f t="shared" ref="T710" ca="1" si="789">SUM(T708:T709)</f>
        <v>0</v>
      </c>
      <c r="U710" s="286">
        <f t="shared" ref="U710" ca="1" si="790">SUM(U708:U709)</f>
        <v>0</v>
      </c>
      <c r="V710" s="286">
        <f t="shared" ref="V710" ca="1" si="791">SUM(V708:V709)</f>
        <v>0</v>
      </c>
    </row>
    <row r="711" spans="2:22" ht="5.0999999999999996" customHeight="1" outlineLevel="1" thickBot="1">
      <c r="B711" s="152"/>
      <c r="C711" s="152"/>
      <c r="D711" s="152"/>
      <c r="E711" s="152"/>
      <c r="F711" s="152"/>
      <c r="G711" s="152"/>
      <c r="H711" s="152"/>
      <c r="I711" s="152"/>
      <c r="J711" s="152"/>
      <c r="K711" s="152"/>
      <c r="L711" s="152"/>
      <c r="M711" s="287"/>
      <c r="N711" s="287"/>
      <c r="O711" s="287"/>
      <c r="P711" s="287"/>
      <c r="Q711" s="287"/>
      <c r="R711" s="287"/>
      <c r="S711" s="287"/>
      <c r="T711" s="287"/>
      <c r="U711" s="287"/>
      <c r="V711" s="287"/>
    </row>
    <row r="712" spans="2:22" ht="13.5" customHeight="1" outlineLevel="1">
      <c r="M712" s="190"/>
      <c r="N712" s="190"/>
      <c r="O712" s="190"/>
      <c r="P712" s="190"/>
      <c r="Q712" s="190"/>
      <c r="R712" s="190"/>
      <c r="S712" s="190"/>
      <c r="T712" s="190"/>
      <c r="U712" s="190"/>
      <c r="V712" s="190"/>
    </row>
    <row r="713" spans="2:22" ht="13.5" customHeight="1" outlineLevel="1">
      <c r="B713" s="273" t="str">
        <f>B1260</f>
        <v>Convertible bond</v>
      </c>
      <c r="C713" s="274"/>
      <c r="D713" s="274"/>
      <c r="E713" s="274"/>
      <c r="F713" s="274"/>
      <c r="G713" s="274"/>
      <c r="H713" s="274"/>
      <c r="I713" s="274"/>
      <c r="J713" s="274"/>
      <c r="K713" s="274"/>
      <c r="L713" s="274"/>
      <c r="M713" s="275"/>
      <c r="N713" s="275"/>
      <c r="O713" s="275"/>
      <c r="P713" s="275"/>
      <c r="Q713" s="275"/>
      <c r="R713" s="275"/>
      <c r="S713" s="275"/>
      <c r="T713" s="275"/>
      <c r="U713" s="275"/>
      <c r="V713" s="275"/>
    </row>
    <row r="714" spans="2:22" ht="13.5" customHeight="1" outlineLevel="1">
      <c r="B714" s="284" t="s">
        <v>123</v>
      </c>
      <c r="C714" s="223"/>
      <c r="D714" s="223"/>
      <c r="E714" s="223"/>
      <c r="F714" s="223"/>
      <c r="G714" s="223"/>
      <c r="H714" s="223"/>
      <c r="I714" s="223"/>
      <c r="J714" s="223"/>
      <c r="K714" s="223"/>
      <c r="L714" s="223"/>
      <c r="M714" s="282"/>
      <c r="N714" s="282"/>
      <c r="O714" s="282"/>
      <c r="P714" s="282"/>
      <c r="Q714" s="282"/>
      <c r="R714" s="282"/>
      <c r="S714" s="282"/>
      <c r="T714" s="282"/>
      <c r="U714" s="282"/>
      <c r="V714" s="282"/>
    </row>
    <row r="715" spans="2:22" ht="13.5" customHeight="1" outlineLevel="1">
      <c r="B715" s="223" t="s">
        <v>466</v>
      </c>
      <c r="C715" s="223"/>
      <c r="D715" s="223"/>
      <c r="E715" s="223"/>
      <c r="F715" s="223"/>
      <c r="G715" s="223"/>
      <c r="H715" s="223"/>
      <c r="I715" s="223"/>
      <c r="J715" s="223"/>
      <c r="K715" s="223"/>
      <c r="L715" s="223"/>
      <c r="M715" s="214">
        <f>L719</f>
        <v>0</v>
      </c>
      <c r="N715" s="214">
        <f ca="1">M719</f>
        <v>0</v>
      </c>
      <c r="O715" s="214">
        <f t="shared" ref="O715:V715" ca="1" si="792">N719</f>
        <v>0</v>
      </c>
      <c r="P715" s="214">
        <f t="shared" ca="1" si="792"/>
        <v>0</v>
      </c>
      <c r="Q715" s="214">
        <f t="shared" ca="1" si="792"/>
        <v>0</v>
      </c>
      <c r="R715" s="214">
        <f t="shared" ca="1" si="792"/>
        <v>0</v>
      </c>
      <c r="S715" s="214">
        <f t="shared" ca="1" si="792"/>
        <v>0</v>
      </c>
      <c r="T715" s="214">
        <f t="shared" ca="1" si="792"/>
        <v>0</v>
      </c>
      <c r="U715" s="214">
        <f t="shared" ca="1" si="792"/>
        <v>0</v>
      </c>
      <c r="V715" s="214">
        <f t="shared" ca="1" si="792"/>
        <v>0</v>
      </c>
    </row>
    <row r="716" spans="2:22" ht="13.5" customHeight="1" outlineLevel="1">
      <c r="B716" s="223" t="s">
        <v>697</v>
      </c>
      <c r="C716" s="223"/>
      <c r="D716" s="223"/>
      <c r="E716" s="223"/>
      <c r="F716" s="223"/>
      <c r="G716" s="223"/>
      <c r="H716" s="223"/>
      <c r="I716" s="223"/>
      <c r="J716" s="223"/>
      <c r="K716" s="223"/>
      <c r="L716" s="223"/>
      <c r="M716" s="218">
        <f t="shared" ref="M716:V716" si="793">M886*M869</f>
        <v>0</v>
      </c>
      <c r="N716" s="218">
        <f t="shared" ca="1" si="793"/>
        <v>0</v>
      </c>
      <c r="O716" s="218">
        <f t="shared" ca="1" si="793"/>
        <v>0</v>
      </c>
      <c r="P716" s="218">
        <f t="shared" ca="1" si="793"/>
        <v>0</v>
      </c>
      <c r="Q716" s="218">
        <f t="shared" ca="1" si="793"/>
        <v>0</v>
      </c>
      <c r="R716" s="218">
        <f t="shared" ca="1" si="793"/>
        <v>0</v>
      </c>
      <c r="S716" s="218">
        <f t="shared" ca="1" si="793"/>
        <v>0</v>
      </c>
      <c r="T716" s="218">
        <f t="shared" ca="1" si="793"/>
        <v>0</v>
      </c>
      <c r="U716" s="218">
        <f t="shared" ca="1" si="793"/>
        <v>0</v>
      </c>
      <c r="V716" s="218">
        <f t="shared" ca="1" si="793"/>
        <v>0</v>
      </c>
    </row>
    <row r="717" spans="2:22" ht="13.5" customHeight="1" outlineLevel="1">
      <c r="B717" s="223" t="s">
        <v>698</v>
      </c>
      <c r="C717" s="223"/>
      <c r="D717" s="223"/>
      <c r="E717" s="223"/>
      <c r="F717" s="223"/>
      <c r="G717" s="223"/>
      <c r="H717" s="223"/>
      <c r="I717" s="223"/>
      <c r="J717" s="223"/>
      <c r="K717" s="223"/>
      <c r="L717" s="223"/>
      <c r="M717" s="218">
        <f t="shared" ref="M717:V717" si="794">-MIN(M715,M440*$L719)</f>
        <v>0</v>
      </c>
      <c r="N717" s="218">
        <f t="shared" ca="1" si="794"/>
        <v>0</v>
      </c>
      <c r="O717" s="218">
        <f t="shared" ca="1" si="794"/>
        <v>0</v>
      </c>
      <c r="P717" s="218">
        <f t="shared" ca="1" si="794"/>
        <v>0</v>
      </c>
      <c r="Q717" s="218">
        <f t="shared" ca="1" si="794"/>
        <v>0</v>
      </c>
      <c r="R717" s="218">
        <f t="shared" ca="1" si="794"/>
        <v>0</v>
      </c>
      <c r="S717" s="218">
        <f t="shared" ca="1" si="794"/>
        <v>0</v>
      </c>
      <c r="T717" s="218">
        <f t="shared" ca="1" si="794"/>
        <v>0</v>
      </c>
      <c r="U717" s="218">
        <f t="shared" ca="1" si="794"/>
        <v>0</v>
      </c>
      <c r="V717" s="218">
        <f t="shared" ca="1" si="794"/>
        <v>0</v>
      </c>
    </row>
    <row r="718" spans="2:22" ht="13.5" customHeight="1" outlineLevel="1">
      <c r="B718" s="223" t="s">
        <v>699</v>
      </c>
      <c r="C718" s="223"/>
      <c r="D718" s="223"/>
      <c r="E718" s="223"/>
      <c r="F718" s="223"/>
      <c r="G718" s="223"/>
      <c r="H718" s="223"/>
      <c r="I718" s="223"/>
      <c r="J718" s="223"/>
      <c r="K718" s="223"/>
      <c r="L718" s="223"/>
      <c r="M718" s="218">
        <f t="shared" ref="M718:V718" ca="1" si="795">M487</f>
        <v>0</v>
      </c>
      <c r="N718" s="218">
        <f t="shared" ca="1" si="795"/>
        <v>0</v>
      </c>
      <c r="O718" s="218">
        <f t="shared" ca="1" si="795"/>
        <v>0</v>
      </c>
      <c r="P718" s="218">
        <f t="shared" ca="1" si="795"/>
        <v>0</v>
      </c>
      <c r="Q718" s="218">
        <f t="shared" ca="1" si="795"/>
        <v>0</v>
      </c>
      <c r="R718" s="218">
        <f t="shared" ca="1" si="795"/>
        <v>0</v>
      </c>
      <c r="S718" s="218">
        <f t="shared" ca="1" si="795"/>
        <v>0</v>
      </c>
      <c r="T718" s="218">
        <f t="shared" ca="1" si="795"/>
        <v>0</v>
      </c>
      <c r="U718" s="218">
        <f t="shared" ca="1" si="795"/>
        <v>0</v>
      </c>
      <c r="V718" s="218">
        <f t="shared" ca="1" si="795"/>
        <v>0</v>
      </c>
    </row>
    <row r="719" spans="2:22" ht="13.5" customHeight="1" outlineLevel="1">
      <c r="B719" s="279" t="s">
        <v>467</v>
      </c>
      <c r="C719" s="279"/>
      <c r="D719" s="279"/>
      <c r="E719" s="279"/>
      <c r="F719" s="279"/>
      <c r="G719" s="279"/>
      <c r="H719" s="279"/>
      <c r="I719" s="279"/>
      <c r="J719" s="279"/>
      <c r="K719" s="279"/>
      <c r="L719" s="280">
        <f>M1260</f>
        <v>0</v>
      </c>
      <c r="M719" s="286">
        <f ca="1">SUM(M715:M718)</f>
        <v>0</v>
      </c>
      <c r="N719" s="286">
        <f t="shared" ref="N719" ca="1" si="796">SUM(N715:N718)</f>
        <v>0</v>
      </c>
      <c r="O719" s="286">
        <f t="shared" ref="O719" ca="1" si="797">SUM(O715:O718)</f>
        <v>0</v>
      </c>
      <c r="P719" s="286">
        <f t="shared" ref="P719" ca="1" si="798">SUM(P715:P718)</f>
        <v>0</v>
      </c>
      <c r="Q719" s="286">
        <f t="shared" ref="Q719" ca="1" si="799">SUM(Q715:Q718)</f>
        <v>0</v>
      </c>
      <c r="R719" s="286">
        <f t="shared" ref="R719" ca="1" si="800">SUM(R715:R718)</f>
        <v>0</v>
      </c>
      <c r="S719" s="286">
        <f t="shared" ref="S719" ca="1" si="801">SUM(S715:S718)</f>
        <v>0</v>
      </c>
      <c r="T719" s="286">
        <f t="shared" ref="T719" ca="1" si="802">SUM(T715:T718)</f>
        <v>0</v>
      </c>
      <c r="U719" s="286">
        <f t="shared" ref="U719" ca="1" si="803">SUM(U715:U718)</f>
        <v>0</v>
      </c>
      <c r="V719" s="286">
        <f t="shared" ref="V719" ca="1" si="804">SUM(V715:V718)</f>
        <v>0</v>
      </c>
    </row>
    <row r="720" spans="2:22" ht="13.5" customHeight="1" outlineLevel="1">
      <c r="B720" s="223"/>
      <c r="C720" s="223"/>
      <c r="D720" s="223"/>
      <c r="E720" s="223"/>
      <c r="F720" s="223"/>
      <c r="G720" s="223"/>
      <c r="H720" s="223"/>
      <c r="I720" s="223"/>
      <c r="J720" s="223"/>
      <c r="K720" s="223"/>
      <c r="L720" s="223"/>
      <c r="M720" s="282"/>
      <c r="N720" s="282"/>
      <c r="O720" s="282"/>
      <c r="P720" s="282"/>
      <c r="Q720" s="282"/>
      <c r="R720" s="282"/>
      <c r="S720" s="282"/>
      <c r="T720" s="282"/>
      <c r="U720" s="282"/>
      <c r="V720" s="282"/>
    </row>
    <row r="721" spans="2:22" ht="13.5" customHeight="1" outlineLevel="1">
      <c r="B721" s="284" t="s">
        <v>700</v>
      </c>
      <c r="C721" s="223"/>
      <c r="D721" s="223"/>
      <c r="E721" s="223"/>
      <c r="F721" s="223"/>
      <c r="G721" s="223"/>
      <c r="H721" s="223"/>
      <c r="I721" s="223"/>
      <c r="J721" s="223"/>
      <c r="K721" s="223"/>
      <c r="L721" s="223"/>
      <c r="M721" s="282"/>
      <c r="N721" s="282"/>
      <c r="O721" s="282"/>
      <c r="P721" s="282"/>
      <c r="Q721" s="282"/>
      <c r="R721" s="282"/>
      <c r="S721" s="282"/>
      <c r="T721" s="282"/>
      <c r="U721" s="282"/>
      <c r="V721" s="282"/>
    </row>
    <row r="722" spans="2:22" ht="13.5" customHeight="1" outlineLevel="1">
      <c r="B722" s="223" t="s">
        <v>466</v>
      </c>
      <c r="C722" s="223"/>
      <c r="D722" s="223"/>
      <c r="E722" s="223"/>
      <c r="F722" s="223"/>
      <c r="G722" s="223"/>
      <c r="H722" s="223"/>
      <c r="I722" s="223"/>
      <c r="J722" s="223"/>
      <c r="K722" s="223"/>
      <c r="L722" s="223"/>
      <c r="M722" s="214">
        <f>L728</f>
        <v>0</v>
      </c>
      <c r="N722" s="214">
        <f ca="1">M728</f>
        <v>0</v>
      </c>
      <c r="O722" s="214">
        <f t="shared" ref="O722:V722" ca="1" si="805">N728</f>
        <v>0</v>
      </c>
      <c r="P722" s="214">
        <f t="shared" ca="1" si="805"/>
        <v>0</v>
      </c>
      <c r="Q722" s="214">
        <f t="shared" ca="1" si="805"/>
        <v>0</v>
      </c>
      <c r="R722" s="214">
        <f t="shared" ca="1" si="805"/>
        <v>0</v>
      </c>
      <c r="S722" s="214">
        <f t="shared" ca="1" si="805"/>
        <v>0</v>
      </c>
      <c r="T722" s="214">
        <f t="shared" ca="1" si="805"/>
        <v>0</v>
      </c>
      <c r="U722" s="214">
        <f t="shared" ca="1" si="805"/>
        <v>0</v>
      </c>
      <c r="V722" s="214">
        <f t="shared" ca="1" si="805"/>
        <v>0</v>
      </c>
    </row>
    <row r="723" spans="2:22" ht="13.5" customHeight="1" outlineLevel="1">
      <c r="B723" s="223" t="s">
        <v>701</v>
      </c>
      <c r="C723" s="223"/>
      <c r="D723" s="223"/>
      <c r="E723" s="223"/>
      <c r="F723" s="223"/>
      <c r="G723" s="223"/>
      <c r="H723" s="223"/>
      <c r="I723" s="223"/>
      <c r="J723" s="223"/>
      <c r="K723" s="223"/>
      <c r="L723" s="223"/>
      <c r="M723" s="218">
        <f>-M732</f>
        <v>0</v>
      </c>
      <c r="N723" s="218">
        <f t="shared" ref="N723:V723" ca="1" si="806">-N732</f>
        <v>0</v>
      </c>
      <c r="O723" s="218">
        <f t="shared" ca="1" si="806"/>
        <v>0</v>
      </c>
      <c r="P723" s="218">
        <f t="shared" ca="1" si="806"/>
        <v>0</v>
      </c>
      <c r="Q723" s="218">
        <f t="shared" ca="1" si="806"/>
        <v>0</v>
      </c>
      <c r="R723" s="218">
        <f t="shared" ca="1" si="806"/>
        <v>0</v>
      </c>
      <c r="S723" s="218">
        <f t="shared" ca="1" si="806"/>
        <v>0</v>
      </c>
      <c r="T723" s="218">
        <f t="shared" ca="1" si="806"/>
        <v>0</v>
      </c>
      <c r="U723" s="218">
        <f t="shared" ca="1" si="806"/>
        <v>0</v>
      </c>
      <c r="V723" s="218">
        <f t="shared" ca="1" si="806"/>
        <v>0</v>
      </c>
    </row>
    <row r="724" spans="2:22" ht="13.5" customHeight="1" outlineLevel="1">
      <c r="B724" s="223" t="s">
        <v>697</v>
      </c>
      <c r="C724" s="223"/>
      <c r="D724" s="223"/>
      <c r="E724" s="223"/>
      <c r="F724" s="223"/>
      <c r="G724" s="223"/>
      <c r="H724" s="223"/>
      <c r="I724" s="223"/>
      <c r="J724" s="223"/>
      <c r="K724" s="223"/>
      <c r="L724" s="223"/>
      <c r="M724" s="218">
        <f>M716</f>
        <v>0</v>
      </c>
      <c r="N724" s="218">
        <f t="shared" ref="N724:V724" ca="1" si="807">N716</f>
        <v>0</v>
      </c>
      <c r="O724" s="218">
        <f t="shared" ca="1" si="807"/>
        <v>0</v>
      </c>
      <c r="P724" s="218">
        <f t="shared" ca="1" si="807"/>
        <v>0</v>
      </c>
      <c r="Q724" s="218">
        <f t="shared" ca="1" si="807"/>
        <v>0</v>
      </c>
      <c r="R724" s="218">
        <f t="shared" ca="1" si="807"/>
        <v>0</v>
      </c>
      <c r="S724" s="218">
        <f t="shared" ca="1" si="807"/>
        <v>0</v>
      </c>
      <c r="T724" s="218">
        <f t="shared" ca="1" si="807"/>
        <v>0</v>
      </c>
      <c r="U724" s="218">
        <f t="shared" ca="1" si="807"/>
        <v>0</v>
      </c>
      <c r="V724" s="218">
        <f t="shared" ca="1" si="807"/>
        <v>0</v>
      </c>
    </row>
    <row r="725" spans="2:22" ht="13.5" customHeight="1" outlineLevel="1">
      <c r="B725" s="223" t="s">
        <v>698</v>
      </c>
      <c r="C725" s="223"/>
      <c r="D725" s="223"/>
      <c r="E725" s="223"/>
      <c r="F725" s="223"/>
      <c r="G725" s="223"/>
      <c r="H725" s="223"/>
      <c r="I725" s="223"/>
      <c r="J725" s="223"/>
      <c r="K725" s="223"/>
      <c r="L725" s="223"/>
      <c r="M725" s="218">
        <f>M717</f>
        <v>0</v>
      </c>
      <c r="N725" s="218">
        <f t="shared" ref="N725:V725" ca="1" si="808">N717</f>
        <v>0</v>
      </c>
      <c r="O725" s="218">
        <f t="shared" ca="1" si="808"/>
        <v>0</v>
      </c>
      <c r="P725" s="218">
        <f t="shared" ca="1" si="808"/>
        <v>0</v>
      </c>
      <c r="Q725" s="218">
        <f t="shared" ca="1" si="808"/>
        <v>0</v>
      </c>
      <c r="R725" s="218">
        <f t="shared" ca="1" si="808"/>
        <v>0</v>
      </c>
      <c r="S725" s="218">
        <f t="shared" ca="1" si="808"/>
        <v>0</v>
      </c>
      <c r="T725" s="218">
        <f t="shared" ca="1" si="808"/>
        <v>0</v>
      </c>
      <c r="U725" s="218">
        <f t="shared" ca="1" si="808"/>
        <v>0</v>
      </c>
      <c r="V725" s="218">
        <f t="shared" ca="1" si="808"/>
        <v>0</v>
      </c>
    </row>
    <row r="726" spans="2:22" ht="13.5" customHeight="1" outlineLevel="1">
      <c r="B726" s="223" t="s">
        <v>699</v>
      </c>
      <c r="C726" s="223"/>
      <c r="D726" s="223"/>
      <c r="E726" s="223"/>
      <c r="F726" s="223"/>
      <c r="G726" s="223"/>
      <c r="H726" s="223"/>
      <c r="I726" s="223"/>
      <c r="J726" s="223"/>
      <c r="K726" s="223"/>
      <c r="L726" s="223"/>
      <c r="M726" s="218">
        <f ca="1">M718</f>
        <v>0</v>
      </c>
      <c r="N726" s="218">
        <f t="shared" ref="N726:V726" ca="1" si="809">N718</f>
        <v>0</v>
      </c>
      <c r="O726" s="218">
        <f t="shared" ca="1" si="809"/>
        <v>0</v>
      </c>
      <c r="P726" s="218">
        <f t="shared" ca="1" si="809"/>
        <v>0</v>
      </c>
      <c r="Q726" s="218">
        <f t="shared" ca="1" si="809"/>
        <v>0</v>
      </c>
      <c r="R726" s="218">
        <f t="shared" ca="1" si="809"/>
        <v>0</v>
      </c>
      <c r="S726" s="218">
        <f t="shared" ca="1" si="809"/>
        <v>0</v>
      </c>
      <c r="T726" s="218">
        <f t="shared" ca="1" si="809"/>
        <v>0</v>
      </c>
      <c r="U726" s="218">
        <f t="shared" ca="1" si="809"/>
        <v>0</v>
      </c>
      <c r="V726" s="218">
        <f t="shared" ca="1" si="809"/>
        <v>0</v>
      </c>
    </row>
    <row r="727" spans="2:22" ht="13.5" customHeight="1" outlineLevel="1">
      <c r="B727" s="223" t="s">
        <v>702</v>
      </c>
      <c r="C727" s="223"/>
      <c r="D727" s="223"/>
      <c r="E727" s="223"/>
      <c r="F727" s="223"/>
      <c r="G727" s="223"/>
      <c r="H727" s="223"/>
      <c r="I727" s="223"/>
      <c r="J727" s="223"/>
      <c r="K727" s="223"/>
      <c r="L727" s="223"/>
      <c r="M727" s="218">
        <f ca="1">-M733</f>
        <v>0</v>
      </c>
      <c r="N727" s="218">
        <f t="shared" ref="N727:V727" ca="1" si="810">-N733</f>
        <v>0</v>
      </c>
      <c r="O727" s="218">
        <f t="shared" ca="1" si="810"/>
        <v>0</v>
      </c>
      <c r="P727" s="218">
        <f t="shared" ca="1" si="810"/>
        <v>0</v>
      </c>
      <c r="Q727" s="218">
        <f t="shared" ca="1" si="810"/>
        <v>0</v>
      </c>
      <c r="R727" s="218">
        <f t="shared" ca="1" si="810"/>
        <v>0</v>
      </c>
      <c r="S727" s="218">
        <f t="shared" ca="1" si="810"/>
        <v>0</v>
      </c>
      <c r="T727" s="218">
        <f t="shared" ca="1" si="810"/>
        <v>0</v>
      </c>
      <c r="U727" s="218">
        <f t="shared" ca="1" si="810"/>
        <v>0</v>
      </c>
      <c r="V727" s="218">
        <f t="shared" ca="1" si="810"/>
        <v>0</v>
      </c>
    </row>
    <row r="728" spans="2:22" ht="13.5" customHeight="1" outlineLevel="1">
      <c r="B728" s="279" t="s">
        <v>467</v>
      </c>
      <c r="C728" s="279"/>
      <c r="D728" s="279"/>
      <c r="E728" s="279"/>
      <c r="F728" s="279"/>
      <c r="G728" s="279"/>
      <c r="H728" s="279"/>
      <c r="I728" s="279"/>
      <c r="J728" s="279"/>
      <c r="K728" s="279"/>
      <c r="L728" s="280">
        <f>L719*(1-$O1308)</f>
        <v>0</v>
      </c>
      <c r="M728" s="286">
        <f ca="1">SUM(M722:M727)</f>
        <v>0</v>
      </c>
      <c r="N728" s="286">
        <f t="shared" ref="N728" ca="1" si="811">SUM(N722:N727)</f>
        <v>0</v>
      </c>
      <c r="O728" s="286">
        <f t="shared" ref="O728" ca="1" si="812">SUM(O722:O727)</f>
        <v>0</v>
      </c>
      <c r="P728" s="286">
        <f t="shared" ref="P728" ca="1" si="813">SUM(P722:P727)</f>
        <v>0</v>
      </c>
      <c r="Q728" s="286">
        <f t="shared" ref="Q728" ca="1" si="814">SUM(Q722:Q727)</f>
        <v>0</v>
      </c>
      <c r="R728" s="286">
        <f t="shared" ref="R728" ca="1" si="815">SUM(R722:R727)</f>
        <v>0</v>
      </c>
      <c r="S728" s="286">
        <f t="shared" ref="S728" ca="1" si="816">SUM(S722:S727)</f>
        <v>0</v>
      </c>
      <c r="T728" s="286">
        <f t="shared" ref="T728" ca="1" si="817">SUM(T722:T727)</f>
        <v>0</v>
      </c>
      <c r="U728" s="286">
        <f t="shared" ref="U728" ca="1" si="818">SUM(U722:U727)</f>
        <v>0</v>
      </c>
      <c r="V728" s="286">
        <f t="shared" ref="V728" ca="1" si="819">SUM(V722:V727)</f>
        <v>0</v>
      </c>
    </row>
    <row r="729" spans="2:22" ht="13.5" customHeight="1" outlineLevel="1">
      <c r="B729" s="223"/>
      <c r="C729" s="223"/>
      <c r="D729" s="223"/>
      <c r="E729" s="223"/>
      <c r="F729" s="223"/>
      <c r="G729" s="223"/>
      <c r="H729" s="223"/>
      <c r="I729" s="223"/>
      <c r="J729" s="223"/>
      <c r="K729" s="223"/>
      <c r="L729" s="223"/>
      <c r="M729" s="282"/>
      <c r="N729" s="282"/>
      <c r="O729" s="282"/>
      <c r="P729" s="282"/>
      <c r="Q729" s="282"/>
      <c r="R729" s="282"/>
      <c r="S729" s="282"/>
      <c r="T729" s="282"/>
      <c r="U729" s="282"/>
      <c r="V729" s="282"/>
    </row>
    <row r="730" spans="2:22" ht="13.5" customHeight="1" outlineLevel="1">
      <c r="B730" s="284" t="s">
        <v>703</v>
      </c>
      <c r="C730" s="223"/>
      <c r="D730" s="223"/>
      <c r="E730" s="223"/>
      <c r="F730" s="223"/>
      <c r="G730" s="223"/>
      <c r="H730" s="223"/>
      <c r="I730" s="223"/>
      <c r="J730" s="223"/>
      <c r="K730" s="223"/>
      <c r="L730" s="223"/>
      <c r="M730" s="282"/>
      <c r="N730" s="282"/>
      <c r="O730" s="282"/>
      <c r="P730" s="282"/>
      <c r="Q730" s="282"/>
      <c r="R730" s="282"/>
      <c r="S730" s="282"/>
      <c r="T730" s="282"/>
      <c r="U730" s="282"/>
      <c r="V730" s="282"/>
    </row>
    <row r="731" spans="2:22" ht="13.5" customHeight="1" outlineLevel="1">
      <c r="B731" s="223" t="s">
        <v>466</v>
      </c>
      <c r="C731" s="223"/>
      <c r="D731" s="223"/>
      <c r="E731" s="223"/>
      <c r="F731" s="223"/>
      <c r="G731" s="223"/>
      <c r="H731" s="223"/>
      <c r="I731" s="223"/>
      <c r="J731" s="223"/>
      <c r="K731" s="223"/>
      <c r="L731" s="223"/>
      <c r="M731" s="214">
        <f>L734</f>
        <v>0</v>
      </c>
      <c r="N731" s="214">
        <f ca="1">M734</f>
        <v>0</v>
      </c>
      <c r="O731" s="214">
        <f t="shared" ref="O731:V731" ca="1" si="820">N734</f>
        <v>0</v>
      </c>
      <c r="P731" s="214">
        <f t="shared" ca="1" si="820"/>
        <v>0</v>
      </c>
      <c r="Q731" s="214">
        <f t="shared" ca="1" si="820"/>
        <v>0</v>
      </c>
      <c r="R731" s="214">
        <f t="shared" ca="1" si="820"/>
        <v>0</v>
      </c>
      <c r="S731" s="214">
        <f t="shared" ca="1" si="820"/>
        <v>0</v>
      </c>
      <c r="T731" s="214">
        <f t="shared" ca="1" si="820"/>
        <v>0</v>
      </c>
      <c r="U731" s="214">
        <f t="shared" ca="1" si="820"/>
        <v>0</v>
      </c>
      <c r="V731" s="214">
        <f t="shared" ca="1" si="820"/>
        <v>0</v>
      </c>
    </row>
    <row r="732" spans="2:22" ht="13.5" customHeight="1" outlineLevel="1">
      <c r="B732" s="223" t="s">
        <v>704</v>
      </c>
      <c r="C732" s="223"/>
      <c r="D732" s="223"/>
      <c r="E732" s="223"/>
      <c r="F732" s="223"/>
      <c r="G732" s="223"/>
      <c r="H732" s="223"/>
      <c r="I732" s="223"/>
      <c r="J732" s="223"/>
      <c r="K732" s="223"/>
      <c r="L732" s="223"/>
      <c r="M732" s="218">
        <f t="shared" ref="M732:V732" si="821">IFERROR(-MIN(M731/L453*M$148,M731),0)</f>
        <v>0</v>
      </c>
      <c r="N732" s="218">
        <f t="shared" ca="1" si="821"/>
        <v>0</v>
      </c>
      <c r="O732" s="218">
        <f t="shared" ca="1" si="821"/>
        <v>0</v>
      </c>
      <c r="P732" s="218">
        <f t="shared" ca="1" si="821"/>
        <v>0</v>
      </c>
      <c r="Q732" s="218">
        <f t="shared" ca="1" si="821"/>
        <v>0</v>
      </c>
      <c r="R732" s="218">
        <f t="shared" ca="1" si="821"/>
        <v>0</v>
      </c>
      <c r="S732" s="218">
        <f t="shared" ca="1" si="821"/>
        <v>0</v>
      </c>
      <c r="T732" s="218">
        <f t="shared" ca="1" si="821"/>
        <v>0</v>
      </c>
      <c r="U732" s="218">
        <f t="shared" ca="1" si="821"/>
        <v>0</v>
      </c>
      <c r="V732" s="218">
        <f t="shared" ca="1" si="821"/>
        <v>0</v>
      </c>
    </row>
    <row r="733" spans="2:22" ht="13.5" customHeight="1" outlineLevel="1">
      <c r="B733" s="223" t="s">
        <v>448</v>
      </c>
      <c r="C733" s="223"/>
      <c r="D733" s="223"/>
      <c r="E733" s="223"/>
      <c r="F733" s="223"/>
      <c r="G733" s="223"/>
      <c r="H733" s="223"/>
      <c r="I733" s="223"/>
      <c r="J733" s="223"/>
      <c r="K733" s="223"/>
      <c r="L733" s="223"/>
      <c r="M733" s="218">
        <f ca="1">IFERROR(SUM(M731:M732)*SUM(M717:M718)/L719,0)</f>
        <v>0</v>
      </c>
      <c r="N733" s="218">
        <f t="shared" ref="N733" ca="1" si="822">IFERROR(SUM(N731:N732)*SUM(N717:N718)/M719,0)</f>
        <v>0</v>
      </c>
      <c r="O733" s="218">
        <f t="shared" ref="O733" ca="1" si="823">IFERROR(SUM(O731:O732)*SUM(O717:O718)/N719,0)</f>
        <v>0</v>
      </c>
      <c r="P733" s="218">
        <f t="shared" ref="P733" ca="1" si="824">IFERROR(SUM(P731:P732)*SUM(P717:P718)/O719,0)</f>
        <v>0</v>
      </c>
      <c r="Q733" s="218">
        <f t="shared" ref="Q733" ca="1" si="825">IFERROR(SUM(Q731:Q732)*SUM(Q717:Q718)/P719,0)</f>
        <v>0</v>
      </c>
      <c r="R733" s="218">
        <f t="shared" ref="R733" ca="1" si="826">IFERROR(SUM(R731:R732)*SUM(R717:R718)/Q719,0)</f>
        <v>0</v>
      </c>
      <c r="S733" s="218">
        <f t="shared" ref="S733" ca="1" si="827">IFERROR(SUM(S731:S732)*SUM(S717:S718)/R719,0)</f>
        <v>0</v>
      </c>
      <c r="T733" s="218">
        <f t="shared" ref="T733" ca="1" si="828">IFERROR(SUM(T731:T732)*SUM(T717:T718)/S719,0)</f>
        <v>0</v>
      </c>
      <c r="U733" s="218">
        <f t="shared" ref="U733" ca="1" si="829">IFERROR(SUM(U731:U732)*SUM(U717:U718)/T719,0)</f>
        <v>0</v>
      </c>
      <c r="V733" s="218">
        <f t="shared" ref="V733" ca="1" si="830">IFERROR(SUM(V731:V732)*SUM(V717:V718)/U719,0)</f>
        <v>0</v>
      </c>
    </row>
    <row r="734" spans="2:22" ht="13.5" customHeight="1" outlineLevel="1">
      <c r="B734" s="279" t="s">
        <v>467</v>
      </c>
      <c r="C734" s="279"/>
      <c r="D734" s="279"/>
      <c r="E734" s="279"/>
      <c r="F734" s="279"/>
      <c r="G734" s="279"/>
      <c r="H734" s="279"/>
      <c r="I734" s="279"/>
      <c r="J734" s="279"/>
      <c r="K734" s="279"/>
      <c r="L734" s="280">
        <f>M1260*O1308</f>
        <v>0</v>
      </c>
      <c r="M734" s="286">
        <f ca="1">SUM(M731:M733)</f>
        <v>0</v>
      </c>
      <c r="N734" s="286">
        <f ca="1">SUM(N731:N733)</f>
        <v>0</v>
      </c>
      <c r="O734" s="286">
        <f t="shared" ref="O734" ca="1" si="831">SUM(O731:O733)</f>
        <v>0</v>
      </c>
      <c r="P734" s="286">
        <f t="shared" ref="P734" ca="1" si="832">SUM(P731:P733)</f>
        <v>0</v>
      </c>
      <c r="Q734" s="286">
        <f t="shared" ref="Q734" ca="1" si="833">SUM(Q731:Q733)</f>
        <v>0</v>
      </c>
      <c r="R734" s="286">
        <f t="shared" ref="R734" ca="1" si="834">SUM(R731:R733)</f>
        <v>0</v>
      </c>
      <c r="S734" s="286">
        <f t="shared" ref="S734" ca="1" si="835">SUM(S731:S733)</f>
        <v>0</v>
      </c>
      <c r="T734" s="286">
        <f t="shared" ref="T734" ca="1" si="836">SUM(T731:T733)</f>
        <v>0</v>
      </c>
      <c r="U734" s="286">
        <f t="shared" ref="U734" ca="1" si="837">SUM(U731:U733)</f>
        <v>0</v>
      </c>
      <c r="V734" s="286">
        <f t="shared" ref="V734" ca="1" si="838">SUM(V731:V733)</f>
        <v>0</v>
      </c>
    </row>
    <row r="735" spans="2:22" ht="13.5" customHeight="1" outlineLevel="1">
      <c r="B735" s="223"/>
      <c r="C735" s="223"/>
      <c r="D735" s="223"/>
      <c r="E735" s="223"/>
      <c r="F735" s="223"/>
      <c r="G735" s="223"/>
      <c r="H735" s="223"/>
      <c r="I735" s="223"/>
      <c r="J735" s="223"/>
      <c r="K735" s="223"/>
      <c r="L735" s="283"/>
      <c r="M735" s="285"/>
      <c r="N735" s="285"/>
      <c r="O735" s="285"/>
      <c r="P735" s="285"/>
      <c r="Q735" s="285"/>
      <c r="R735" s="285"/>
      <c r="S735" s="285"/>
      <c r="T735" s="285"/>
      <c r="U735" s="285"/>
      <c r="V735" s="285"/>
    </row>
    <row r="736" spans="2:22" ht="13.5" customHeight="1" outlineLevel="1">
      <c r="B736" s="284" t="s">
        <v>147</v>
      </c>
      <c r="C736" s="223"/>
      <c r="D736" s="223"/>
      <c r="E736" s="223"/>
      <c r="F736" s="223"/>
      <c r="G736" s="223"/>
      <c r="H736" s="223"/>
      <c r="I736" s="223"/>
      <c r="J736" s="223"/>
      <c r="K736" s="223"/>
      <c r="L736" s="283"/>
      <c r="M736" s="285"/>
      <c r="N736" s="285"/>
      <c r="O736" s="285"/>
      <c r="P736" s="285"/>
      <c r="Q736" s="285"/>
      <c r="R736" s="285"/>
      <c r="S736" s="285"/>
      <c r="T736" s="285"/>
      <c r="U736" s="285"/>
      <c r="V736" s="285"/>
    </row>
    <row r="737" spans="2:22" ht="13.5" customHeight="1" outlineLevel="1">
      <c r="B737" s="223" t="s">
        <v>714</v>
      </c>
      <c r="C737" s="223"/>
      <c r="D737" s="223"/>
      <c r="E737" s="223"/>
      <c r="F737" s="223"/>
      <c r="G737" s="223"/>
      <c r="H737" s="223"/>
      <c r="I737" s="223"/>
      <c r="J737" s="223"/>
      <c r="K737" s="223"/>
      <c r="L737" s="283"/>
      <c r="M737" s="285">
        <f t="shared" ref="M737:V737" si="839">M856*IF(avg_int,AVERAGE(M715,M719),M715)*M$148</f>
        <v>0</v>
      </c>
      <c r="N737" s="285">
        <f t="shared" ca="1" si="839"/>
        <v>0</v>
      </c>
      <c r="O737" s="285">
        <f t="shared" ca="1" si="839"/>
        <v>0</v>
      </c>
      <c r="P737" s="285">
        <f t="shared" ca="1" si="839"/>
        <v>0</v>
      </c>
      <c r="Q737" s="285">
        <f t="shared" ca="1" si="839"/>
        <v>0</v>
      </c>
      <c r="R737" s="285">
        <f t="shared" ca="1" si="839"/>
        <v>0</v>
      </c>
      <c r="S737" s="285">
        <f t="shared" ca="1" si="839"/>
        <v>0</v>
      </c>
      <c r="T737" s="285">
        <f t="shared" ca="1" si="839"/>
        <v>0</v>
      </c>
      <c r="U737" s="285">
        <f t="shared" ca="1" si="839"/>
        <v>0</v>
      </c>
      <c r="V737" s="285">
        <f t="shared" ca="1" si="839"/>
        <v>0</v>
      </c>
    </row>
    <row r="738" spans="2:22" ht="13.5" customHeight="1" outlineLevel="1">
      <c r="B738" s="223" t="s">
        <v>701</v>
      </c>
      <c r="C738" s="223"/>
      <c r="D738" s="223"/>
      <c r="E738" s="223"/>
      <c r="F738" s="223"/>
      <c r="G738" s="223"/>
      <c r="H738" s="223"/>
      <c r="I738" s="223"/>
      <c r="J738" s="223"/>
      <c r="K738" s="223"/>
      <c r="L738" s="283"/>
      <c r="M738" s="218">
        <f>-M732</f>
        <v>0</v>
      </c>
      <c r="N738" s="218">
        <f t="shared" ref="N738:V738" ca="1" si="840">-N732</f>
        <v>0</v>
      </c>
      <c r="O738" s="218">
        <f t="shared" ca="1" si="840"/>
        <v>0</v>
      </c>
      <c r="P738" s="218">
        <f t="shared" ca="1" si="840"/>
        <v>0</v>
      </c>
      <c r="Q738" s="218">
        <f t="shared" ca="1" si="840"/>
        <v>0</v>
      </c>
      <c r="R738" s="218">
        <f t="shared" ca="1" si="840"/>
        <v>0</v>
      </c>
      <c r="S738" s="218">
        <f t="shared" ca="1" si="840"/>
        <v>0</v>
      </c>
      <c r="T738" s="218">
        <f t="shared" ca="1" si="840"/>
        <v>0</v>
      </c>
      <c r="U738" s="218">
        <f t="shared" ca="1" si="840"/>
        <v>0</v>
      </c>
      <c r="V738" s="218">
        <f t="shared" ca="1" si="840"/>
        <v>0</v>
      </c>
    </row>
    <row r="739" spans="2:22" ht="13.5" customHeight="1" outlineLevel="1">
      <c r="B739" s="279" t="s">
        <v>715</v>
      </c>
      <c r="C739" s="279"/>
      <c r="D739" s="279"/>
      <c r="E739" s="279"/>
      <c r="F739" s="279"/>
      <c r="G739" s="279"/>
      <c r="H739" s="279"/>
      <c r="I739" s="279"/>
      <c r="J739" s="279"/>
      <c r="K739" s="279"/>
      <c r="L739" s="280"/>
      <c r="M739" s="286">
        <f>SUM(M737:M738)</f>
        <v>0</v>
      </c>
      <c r="N739" s="286">
        <f t="shared" ref="N739" ca="1" si="841">SUM(N737:N738)</f>
        <v>0</v>
      </c>
      <c r="O739" s="286">
        <f t="shared" ref="O739" ca="1" si="842">SUM(O737:O738)</f>
        <v>0</v>
      </c>
      <c r="P739" s="286">
        <f t="shared" ref="P739" ca="1" si="843">SUM(P737:P738)</f>
        <v>0</v>
      </c>
      <c r="Q739" s="286">
        <f t="shared" ref="Q739" ca="1" si="844">SUM(Q737:Q738)</f>
        <v>0</v>
      </c>
      <c r="R739" s="286">
        <f t="shared" ref="R739" ca="1" si="845">SUM(R737:R738)</f>
        <v>0</v>
      </c>
      <c r="S739" s="286">
        <f t="shared" ref="S739" ca="1" si="846">SUM(S737:S738)</f>
        <v>0</v>
      </c>
      <c r="T739" s="286">
        <f t="shared" ref="T739" ca="1" si="847">SUM(T737:T738)</f>
        <v>0</v>
      </c>
      <c r="U739" s="286">
        <f t="shared" ref="U739" ca="1" si="848">SUM(U737:U738)</f>
        <v>0</v>
      </c>
      <c r="V739" s="286">
        <f t="shared" ref="V739" ca="1" si="849">SUM(V737:V738)</f>
        <v>0</v>
      </c>
    </row>
    <row r="740" spans="2:22" ht="5.0999999999999996" customHeight="1" outlineLevel="1" thickBot="1">
      <c r="B740" s="152"/>
      <c r="C740" s="152"/>
      <c r="D740" s="152"/>
      <c r="E740" s="152"/>
      <c r="F740" s="152"/>
      <c r="G740" s="152"/>
      <c r="H740" s="152"/>
      <c r="I740" s="152"/>
      <c r="J740" s="152"/>
      <c r="K740" s="152"/>
      <c r="L740" s="152"/>
      <c r="M740" s="287"/>
      <c r="N740" s="287"/>
      <c r="O740" s="287"/>
      <c r="P740" s="287"/>
      <c r="Q740" s="287"/>
      <c r="R740" s="287"/>
      <c r="S740" s="287"/>
      <c r="T740" s="287"/>
      <c r="U740" s="287"/>
      <c r="V740" s="287"/>
    </row>
    <row r="741" spans="2:22" ht="13.5" customHeight="1" outlineLevel="1">
      <c r="M741" s="190"/>
      <c r="N741" s="190"/>
      <c r="O741" s="190"/>
      <c r="P741" s="190"/>
      <c r="Q741" s="190"/>
      <c r="R741" s="190"/>
      <c r="S741" s="190"/>
      <c r="T741" s="190"/>
      <c r="U741" s="190"/>
      <c r="V741" s="190"/>
    </row>
    <row r="742" spans="2:22" ht="13.5" customHeight="1" outlineLevel="1">
      <c r="B742" s="273" t="str">
        <f>B1261</f>
        <v>[Debt 8]</v>
      </c>
      <c r="C742" s="274"/>
      <c r="D742" s="274"/>
      <c r="E742" s="274"/>
      <c r="F742" s="274"/>
      <c r="G742" s="274"/>
      <c r="H742" s="274"/>
      <c r="I742" s="274"/>
      <c r="J742" s="274"/>
      <c r="K742" s="274"/>
      <c r="L742" s="274"/>
      <c r="M742" s="275"/>
      <c r="N742" s="275"/>
      <c r="O742" s="275"/>
      <c r="P742" s="275"/>
      <c r="Q742" s="275"/>
      <c r="R742" s="275"/>
      <c r="S742" s="275"/>
      <c r="T742" s="275"/>
      <c r="U742" s="275"/>
      <c r="V742" s="275"/>
    </row>
    <row r="743" spans="2:22" ht="13.5" customHeight="1" outlineLevel="1">
      <c r="B743" s="284" t="s">
        <v>123</v>
      </c>
      <c r="C743" s="223"/>
      <c r="D743" s="223"/>
      <c r="E743" s="223"/>
      <c r="F743" s="223"/>
      <c r="G743" s="223"/>
      <c r="H743" s="223"/>
      <c r="I743" s="223"/>
      <c r="J743" s="223"/>
      <c r="K743" s="223"/>
      <c r="L743" s="223"/>
      <c r="M743" s="282"/>
      <c r="N743" s="282"/>
      <c r="O743" s="282"/>
      <c r="P743" s="282"/>
      <c r="Q743" s="282"/>
      <c r="R743" s="282"/>
      <c r="S743" s="282"/>
      <c r="T743" s="282"/>
      <c r="U743" s="282"/>
      <c r="V743" s="282"/>
    </row>
    <row r="744" spans="2:22" ht="13.5" customHeight="1" outlineLevel="1">
      <c r="B744" s="223" t="s">
        <v>466</v>
      </c>
      <c r="C744" s="223"/>
      <c r="D744" s="223"/>
      <c r="E744" s="223"/>
      <c r="F744" s="223"/>
      <c r="G744" s="223"/>
      <c r="H744" s="223"/>
      <c r="I744" s="223"/>
      <c r="J744" s="223"/>
      <c r="K744" s="223"/>
      <c r="L744" s="223"/>
      <c r="M744" s="214">
        <f>L748</f>
        <v>0</v>
      </c>
      <c r="N744" s="214">
        <f ca="1">M748</f>
        <v>0</v>
      </c>
      <c r="O744" s="214">
        <f t="shared" ref="O744:V744" ca="1" si="850">N748</f>
        <v>0</v>
      </c>
      <c r="P744" s="214">
        <f t="shared" ca="1" si="850"/>
        <v>0</v>
      </c>
      <c r="Q744" s="214">
        <f t="shared" ca="1" si="850"/>
        <v>0</v>
      </c>
      <c r="R744" s="214">
        <f t="shared" ca="1" si="850"/>
        <v>0</v>
      </c>
      <c r="S744" s="214">
        <f t="shared" ca="1" si="850"/>
        <v>0</v>
      </c>
      <c r="T744" s="214">
        <f t="shared" ca="1" si="850"/>
        <v>0</v>
      </c>
      <c r="U744" s="214">
        <f t="shared" ca="1" si="850"/>
        <v>0</v>
      </c>
      <c r="V744" s="214">
        <f t="shared" ca="1" si="850"/>
        <v>0</v>
      </c>
    </row>
    <row r="745" spans="2:22" ht="13.5" customHeight="1" outlineLevel="1">
      <c r="B745" s="223" t="s">
        <v>697</v>
      </c>
      <c r="C745" s="223"/>
      <c r="D745" s="223"/>
      <c r="E745" s="223"/>
      <c r="F745" s="223"/>
      <c r="G745" s="223"/>
      <c r="H745" s="223"/>
      <c r="I745" s="223"/>
      <c r="J745" s="223"/>
      <c r="K745" s="223"/>
      <c r="L745" s="223"/>
      <c r="M745" s="218">
        <f t="shared" ref="M745:V745" si="851">M887*M870</f>
        <v>0</v>
      </c>
      <c r="N745" s="218">
        <f t="shared" ca="1" si="851"/>
        <v>0</v>
      </c>
      <c r="O745" s="218">
        <f t="shared" ca="1" si="851"/>
        <v>0</v>
      </c>
      <c r="P745" s="218">
        <f t="shared" ca="1" si="851"/>
        <v>0</v>
      </c>
      <c r="Q745" s="218">
        <f t="shared" ca="1" si="851"/>
        <v>0</v>
      </c>
      <c r="R745" s="218">
        <f t="shared" ca="1" si="851"/>
        <v>0</v>
      </c>
      <c r="S745" s="218">
        <f t="shared" ca="1" si="851"/>
        <v>0</v>
      </c>
      <c r="T745" s="218">
        <f t="shared" ca="1" si="851"/>
        <v>0</v>
      </c>
      <c r="U745" s="218">
        <f t="shared" ca="1" si="851"/>
        <v>0</v>
      </c>
      <c r="V745" s="218">
        <f t="shared" ca="1" si="851"/>
        <v>0</v>
      </c>
    </row>
    <row r="746" spans="2:22" ht="13.5" customHeight="1" outlineLevel="1">
      <c r="B746" s="223" t="s">
        <v>698</v>
      </c>
      <c r="C746" s="223"/>
      <c r="D746" s="223"/>
      <c r="E746" s="223"/>
      <c r="F746" s="223"/>
      <c r="G746" s="223"/>
      <c r="H746" s="223"/>
      <c r="I746" s="223"/>
      <c r="J746" s="223"/>
      <c r="K746" s="223"/>
      <c r="L746" s="223"/>
      <c r="M746" s="218">
        <f t="shared" ref="M746:V746" si="852">-MIN(M744,M441*$L748)</f>
        <v>0</v>
      </c>
      <c r="N746" s="218">
        <f t="shared" ca="1" si="852"/>
        <v>0</v>
      </c>
      <c r="O746" s="218">
        <f t="shared" ca="1" si="852"/>
        <v>0</v>
      </c>
      <c r="P746" s="218">
        <f t="shared" ca="1" si="852"/>
        <v>0</v>
      </c>
      <c r="Q746" s="218">
        <f t="shared" ca="1" si="852"/>
        <v>0</v>
      </c>
      <c r="R746" s="218">
        <f t="shared" ca="1" si="852"/>
        <v>0</v>
      </c>
      <c r="S746" s="218">
        <f t="shared" ca="1" si="852"/>
        <v>0</v>
      </c>
      <c r="T746" s="218">
        <f t="shared" ca="1" si="852"/>
        <v>0</v>
      </c>
      <c r="U746" s="218">
        <f t="shared" ca="1" si="852"/>
        <v>0</v>
      </c>
      <c r="V746" s="218">
        <f t="shared" ca="1" si="852"/>
        <v>0</v>
      </c>
    </row>
    <row r="747" spans="2:22" ht="13.5" customHeight="1" outlineLevel="1">
      <c r="B747" s="223" t="s">
        <v>699</v>
      </c>
      <c r="C747" s="223"/>
      <c r="D747" s="223"/>
      <c r="E747" s="223"/>
      <c r="F747" s="223"/>
      <c r="G747" s="223"/>
      <c r="H747" s="223"/>
      <c r="I747" s="223"/>
      <c r="J747" s="223"/>
      <c r="K747" s="223"/>
      <c r="L747" s="223"/>
      <c r="M747" s="218">
        <f t="shared" ref="M747:V747" ca="1" si="853">M488</f>
        <v>0</v>
      </c>
      <c r="N747" s="218">
        <f t="shared" ca="1" si="853"/>
        <v>0</v>
      </c>
      <c r="O747" s="218">
        <f t="shared" ca="1" si="853"/>
        <v>0</v>
      </c>
      <c r="P747" s="218">
        <f t="shared" ca="1" si="853"/>
        <v>0</v>
      </c>
      <c r="Q747" s="218">
        <f t="shared" ca="1" si="853"/>
        <v>0</v>
      </c>
      <c r="R747" s="218">
        <f t="shared" ca="1" si="853"/>
        <v>0</v>
      </c>
      <c r="S747" s="218">
        <f t="shared" ca="1" si="853"/>
        <v>0</v>
      </c>
      <c r="T747" s="218">
        <f t="shared" ca="1" si="853"/>
        <v>0</v>
      </c>
      <c r="U747" s="218">
        <f t="shared" ca="1" si="853"/>
        <v>0</v>
      </c>
      <c r="V747" s="218">
        <f t="shared" ca="1" si="853"/>
        <v>0</v>
      </c>
    </row>
    <row r="748" spans="2:22" ht="13.5" customHeight="1" outlineLevel="1">
      <c r="B748" s="279" t="s">
        <v>467</v>
      </c>
      <c r="C748" s="279"/>
      <c r="D748" s="279"/>
      <c r="E748" s="279"/>
      <c r="F748" s="279"/>
      <c r="G748" s="279"/>
      <c r="H748" s="279"/>
      <c r="I748" s="279"/>
      <c r="J748" s="279"/>
      <c r="K748" s="279"/>
      <c r="L748" s="280">
        <f>M1261</f>
        <v>0</v>
      </c>
      <c r="M748" s="286">
        <f ca="1">SUM(M744:M747)</f>
        <v>0</v>
      </c>
      <c r="N748" s="286">
        <f t="shared" ref="N748" ca="1" si="854">SUM(N744:N747)</f>
        <v>0</v>
      </c>
      <c r="O748" s="286">
        <f t="shared" ref="O748" ca="1" si="855">SUM(O744:O747)</f>
        <v>0</v>
      </c>
      <c r="P748" s="286">
        <f t="shared" ref="P748" ca="1" si="856">SUM(P744:P747)</f>
        <v>0</v>
      </c>
      <c r="Q748" s="286">
        <f t="shared" ref="Q748" ca="1" si="857">SUM(Q744:Q747)</f>
        <v>0</v>
      </c>
      <c r="R748" s="286">
        <f t="shared" ref="R748" ca="1" si="858">SUM(R744:R747)</f>
        <v>0</v>
      </c>
      <c r="S748" s="286">
        <f t="shared" ref="S748" ca="1" si="859">SUM(S744:S747)</f>
        <v>0</v>
      </c>
      <c r="T748" s="286">
        <f t="shared" ref="T748" ca="1" si="860">SUM(T744:T747)</f>
        <v>0</v>
      </c>
      <c r="U748" s="286">
        <f t="shared" ref="U748" ca="1" si="861">SUM(U744:U747)</f>
        <v>0</v>
      </c>
      <c r="V748" s="286">
        <f t="shared" ref="V748" ca="1" si="862">SUM(V744:V747)</f>
        <v>0</v>
      </c>
    </row>
    <row r="749" spans="2:22" ht="13.5" customHeight="1" outlineLevel="1">
      <c r="B749" s="223"/>
      <c r="C749" s="223"/>
      <c r="D749" s="223"/>
      <c r="E749" s="223"/>
      <c r="F749" s="223"/>
      <c r="G749" s="223"/>
      <c r="H749" s="223"/>
      <c r="I749" s="223"/>
      <c r="J749" s="223"/>
      <c r="K749" s="223"/>
      <c r="L749" s="223"/>
      <c r="M749" s="282"/>
      <c r="N749" s="282"/>
      <c r="O749" s="282"/>
      <c r="P749" s="282"/>
      <c r="Q749" s="282"/>
      <c r="R749" s="282"/>
      <c r="S749" s="282"/>
      <c r="T749" s="282"/>
      <c r="U749" s="282"/>
      <c r="V749" s="282"/>
    </row>
    <row r="750" spans="2:22" ht="13.5" customHeight="1" outlineLevel="1">
      <c r="B750" s="284" t="s">
        <v>700</v>
      </c>
      <c r="C750" s="223"/>
      <c r="D750" s="223"/>
      <c r="E750" s="223"/>
      <c r="F750" s="223"/>
      <c r="G750" s="223"/>
      <c r="H750" s="223"/>
      <c r="I750" s="223"/>
      <c r="J750" s="223"/>
      <c r="K750" s="223"/>
      <c r="L750" s="223"/>
      <c r="M750" s="282"/>
      <c r="N750" s="282"/>
      <c r="O750" s="282"/>
      <c r="P750" s="282"/>
      <c r="Q750" s="282"/>
      <c r="R750" s="282"/>
      <c r="S750" s="282"/>
      <c r="T750" s="282"/>
      <c r="U750" s="282"/>
      <c r="V750" s="282"/>
    </row>
    <row r="751" spans="2:22" ht="13.5" customHeight="1" outlineLevel="1">
      <c r="B751" s="223" t="s">
        <v>466</v>
      </c>
      <c r="C751" s="223"/>
      <c r="D751" s="223"/>
      <c r="E751" s="223"/>
      <c r="F751" s="223"/>
      <c r="G751" s="223"/>
      <c r="H751" s="223"/>
      <c r="I751" s="223"/>
      <c r="J751" s="223"/>
      <c r="K751" s="223"/>
      <c r="L751" s="223"/>
      <c r="M751" s="214">
        <f>L757</f>
        <v>0</v>
      </c>
      <c r="N751" s="214">
        <f ca="1">M757</f>
        <v>0</v>
      </c>
      <c r="O751" s="214">
        <f t="shared" ref="O751:V751" ca="1" si="863">N757</f>
        <v>0</v>
      </c>
      <c r="P751" s="214">
        <f t="shared" ca="1" si="863"/>
        <v>0</v>
      </c>
      <c r="Q751" s="214">
        <f t="shared" ca="1" si="863"/>
        <v>0</v>
      </c>
      <c r="R751" s="214">
        <f t="shared" ca="1" si="863"/>
        <v>0</v>
      </c>
      <c r="S751" s="214">
        <f t="shared" ca="1" si="863"/>
        <v>0</v>
      </c>
      <c r="T751" s="214">
        <f t="shared" ca="1" si="863"/>
        <v>0</v>
      </c>
      <c r="U751" s="214">
        <f t="shared" ca="1" si="863"/>
        <v>0</v>
      </c>
      <c r="V751" s="214">
        <f t="shared" ca="1" si="863"/>
        <v>0</v>
      </c>
    </row>
    <row r="752" spans="2:22" ht="13.5" customHeight="1" outlineLevel="1">
      <c r="B752" s="223" t="s">
        <v>701</v>
      </c>
      <c r="C752" s="223"/>
      <c r="D752" s="223"/>
      <c r="E752" s="223"/>
      <c r="F752" s="223"/>
      <c r="G752" s="223"/>
      <c r="H752" s="223"/>
      <c r="I752" s="223"/>
      <c r="J752" s="223"/>
      <c r="K752" s="223"/>
      <c r="L752" s="223"/>
      <c r="M752" s="218">
        <f>-M761</f>
        <v>0</v>
      </c>
      <c r="N752" s="218">
        <f t="shared" ref="N752:V752" ca="1" si="864">-N761</f>
        <v>0</v>
      </c>
      <c r="O752" s="218">
        <f t="shared" ca="1" si="864"/>
        <v>0</v>
      </c>
      <c r="P752" s="218">
        <f t="shared" ca="1" si="864"/>
        <v>0</v>
      </c>
      <c r="Q752" s="218">
        <f t="shared" ca="1" si="864"/>
        <v>0</v>
      </c>
      <c r="R752" s="218">
        <f t="shared" ca="1" si="864"/>
        <v>0</v>
      </c>
      <c r="S752" s="218">
        <f t="shared" ca="1" si="864"/>
        <v>0</v>
      </c>
      <c r="T752" s="218">
        <f t="shared" ca="1" si="864"/>
        <v>0</v>
      </c>
      <c r="U752" s="218">
        <f t="shared" ca="1" si="864"/>
        <v>0</v>
      </c>
      <c r="V752" s="218">
        <f t="shared" ca="1" si="864"/>
        <v>0</v>
      </c>
    </row>
    <row r="753" spans="2:22" ht="13.5" customHeight="1" outlineLevel="1">
      <c r="B753" s="223" t="s">
        <v>697</v>
      </c>
      <c r="C753" s="223"/>
      <c r="D753" s="223"/>
      <c r="E753" s="223"/>
      <c r="F753" s="223"/>
      <c r="G753" s="223"/>
      <c r="H753" s="223"/>
      <c r="I753" s="223"/>
      <c r="J753" s="223"/>
      <c r="K753" s="223"/>
      <c r="L753" s="223"/>
      <c r="M753" s="218">
        <f>M745</f>
        <v>0</v>
      </c>
      <c r="N753" s="218">
        <f t="shared" ref="N753:V753" ca="1" si="865">N745</f>
        <v>0</v>
      </c>
      <c r="O753" s="218">
        <f t="shared" ca="1" si="865"/>
        <v>0</v>
      </c>
      <c r="P753" s="218">
        <f t="shared" ca="1" si="865"/>
        <v>0</v>
      </c>
      <c r="Q753" s="218">
        <f t="shared" ca="1" si="865"/>
        <v>0</v>
      </c>
      <c r="R753" s="218">
        <f t="shared" ca="1" si="865"/>
        <v>0</v>
      </c>
      <c r="S753" s="218">
        <f t="shared" ca="1" si="865"/>
        <v>0</v>
      </c>
      <c r="T753" s="218">
        <f t="shared" ca="1" si="865"/>
        <v>0</v>
      </c>
      <c r="U753" s="218">
        <f t="shared" ca="1" si="865"/>
        <v>0</v>
      </c>
      <c r="V753" s="218">
        <f t="shared" ca="1" si="865"/>
        <v>0</v>
      </c>
    </row>
    <row r="754" spans="2:22" ht="13.5" customHeight="1" outlineLevel="1">
      <c r="B754" s="223" t="s">
        <v>698</v>
      </c>
      <c r="C754" s="223"/>
      <c r="D754" s="223"/>
      <c r="E754" s="223"/>
      <c r="F754" s="223"/>
      <c r="G754" s="223"/>
      <c r="H754" s="223"/>
      <c r="I754" s="223"/>
      <c r="J754" s="223"/>
      <c r="K754" s="223"/>
      <c r="L754" s="223"/>
      <c r="M754" s="218">
        <f>M746</f>
        <v>0</v>
      </c>
      <c r="N754" s="218">
        <f t="shared" ref="N754:V754" ca="1" si="866">N746</f>
        <v>0</v>
      </c>
      <c r="O754" s="218">
        <f t="shared" ca="1" si="866"/>
        <v>0</v>
      </c>
      <c r="P754" s="218">
        <f t="shared" ca="1" si="866"/>
        <v>0</v>
      </c>
      <c r="Q754" s="218">
        <f t="shared" ca="1" si="866"/>
        <v>0</v>
      </c>
      <c r="R754" s="218">
        <f t="shared" ca="1" si="866"/>
        <v>0</v>
      </c>
      <c r="S754" s="218">
        <f t="shared" ca="1" si="866"/>
        <v>0</v>
      </c>
      <c r="T754" s="218">
        <f t="shared" ca="1" si="866"/>
        <v>0</v>
      </c>
      <c r="U754" s="218">
        <f t="shared" ca="1" si="866"/>
        <v>0</v>
      </c>
      <c r="V754" s="218">
        <f t="shared" ca="1" si="866"/>
        <v>0</v>
      </c>
    </row>
    <row r="755" spans="2:22" ht="13.5" customHeight="1" outlineLevel="1">
      <c r="B755" s="223" t="s">
        <v>699</v>
      </c>
      <c r="C755" s="223"/>
      <c r="D755" s="223"/>
      <c r="E755" s="223"/>
      <c r="F755" s="223"/>
      <c r="G755" s="223"/>
      <c r="H755" s="223"/>
      <c r="I755" s="223"/>
      <c r="J755" s="223"/>
      <c r="K755" s="223"/>
      <c r="L755" s="223"/>
      <c r="M755" s="218">
        <f ca="1">M747</f>
        <v>0</v>
      </c>
      <c r="N755" s="218">
        <f t="shared" ref="N755:V755" ca="1" si="867">N747</f>
        <v>0</v>
      </c>
      <c r="O755" s="218">
        <f t="shared" ca="1" si="867"/>
        <v>0</v>
      </c>
      <c r="P755" s="218">
        <f t="shared" ca="1" si="867"/>
        <v>0</v>
      </c>
      <c r="Q755" s="218">
        <f t="shared" ca="1" si="867"/>
        <v>0</v>
      </c>
      <c r="R755" s="218">
        <f t="shared" ca="1" si="867"/>
        <v>0</v>
      </c>
      <c r="S755" s="218">
        <f t="shared" ca="1" si="867"/>
        <v>0</v>
      </c>
      <c r="T755" s="218">
        <f t="shared" ca="1" si="867"/>
        <v>0</v>
      </c>
      <c r="U755" s="218">
        <f t="shared" ca="1" si="867"/>
        <v>0</v>
      </c>
      <c r="V755" s="218">
        <f t="shared" ca="1" si="867"/>
        <v>0</v>
      </c>
    </row>
    <row r="756" spans="2:22" ht="13.5" customHeight="1" outlineLevel="1">
      <c r="B756" s="223" t="s">
        <v>702</v>
      </c>
      <c r="C756" s="223"/>
      <c r="D756" s="223"/>
      <c r="E756" s="223"/>
      <c r="F756" s="223"/>
      <c r="G756" s="223"/>
      <c r="H756" s="223"/>
      <c r="I756" s="223"/>
      <c r="J756" s="223"/>
      <c r="K756" s="223"/>
      <c r="L756" s="223"/>
      <c r="M756" s="218">
        <f ca="1">-M762</f>
        <v>0</v>
      </c>
      <c r="N756" s="218">
        <f t="shared" ref="N756:V756" ca="1" si="868">-N762</f>
        <v>0</v>
      </c>
      <c r="O756" s="218">
        <f t="shared" ca="1" si="868"/>
        <v>0</v>
      </c>
      <c r="P756" s="218">
        <f t="shared" ca="1" si="868"/>
        <v>0</v>
      </c>
      <c r="Q756" s="218">
        <f t="shared" ca="1" si="868"/>
        <v>0</v>
      </c>
      <c r="R756" s="218">
        <f t="shared" ca="1" si="868"/>
        <v>0</v>
      </c>
      <c r="S756" s="218">
        <f t="shared" ca="1" si="868"/>
        <v>0</v>
      </c>
      <c r="T756" s="218">
        <f t="shared" ca="1" si="868"/>
        <v>0</v>
      </c>
      <c r="U756" s="218">
        <f t="shared" ca="1" si="868"/>
        <v>0</v>
      </c>
      <c r="V756" s="218">
        <f t="shared" ca="1" si="868"/>
        <v>0</v>
      </c>
    </row>
    <row r="757" spans="2:22" ht="13.5" customHeight="1" outlineLevel="1">
      <c r="B757" s="279" t="s">
        <v>467</v>
      </c>
      <c r="C757" s="279"/>
      <c r="D757" s="279"/>
      <c r="E757" s="279"/>
      <c r="F757" s="279"/>
      <c r="G757" s="279"/>
      <c r="H757" s="279"/>
      <c r="I757" s="279"/>
      <c r="J757" s="279"/>
      <c r="K757" s="279"/>
      <c r="L757" s="280">
        <f>L748*(1-$O1309)</f>
        <v>0</v>
      </c>
      <c r="M757" s="286">
        <f ca="1">SUM(M751:M756)</f>
        <v>0</v>
      </c>
      <c r="N757" s="286">
        <f t="shared" ref="N757" ca="1" si="869">SUM(N751:N756)</f>
        <v>0</v>
      </c>
      <c r="O757" s="286">
        <f t="shared" ref="O757" ca="1" si="870">SUM(O751:O756)</f>
        <v>0</v>
      </c>
      <c r="P757" s="286">
        <f t="shared" ref="P757" ca="1" si="871">SUM(P751:P756)</f>
        <v>0</v>
      </c>
      <c r="Q757" s="286">
        <f t="shared" ref="Q757" ca="1" si="872">SUM(Q751:Q756)</f>
        <v>0</v>
      </c>
      <c r="R757" s="286">
        <f t="shared" ref="R757" ca="1" si="873">SUM(R751:R756)</f>
        <v>0</v>
      </c>
      <c r="S757" s="286">
        <f t="shared" ref="S757" ca="1" si="874">SUM(S751:S756)</f>
        <v>0</v>
      </c>
      <c r="T757" s="286">
        <f t="shared" ref="T757" ca="1" si="875">SUM(T751:T756)</f>
        <v>0</v>
      </c>
      <c r="U757" s="286">
        <f t="shared" ref="U757" ca="1" si="876">SUM(U751:U756)</f>
        <v>0</v>
      </c>
      <c r="V757" s="286">
        <f t="shared" ref="V757" ca="1" si="877">SUM(V751:V756)</f>
        <v>0</v>
      </c>
    </row>
    <row r="758" spans="2:22" ht="13.5" customHeight="1" outlineLevel="1">
      <c r="B758" s="223"/>
      <c r="C758" s="223"/>
      <c r="D758" s="223"/>
      <c r="E758" s="223"/>
      <c r="F758" s="223"/>
      <c r="G758" s="223"/>
      <c r="H758" s="223"/>
      <c r="I758" s="223"/>
      <c r="J758" s="223"/>
      <c r="K758" s="223"/>
      <c r="L758" s="223"/>
      <c r="M758" s="282"/>
      <c r="N758" s="282"/>
      <c r="O758" s="282"/>
      <c r="P758" s="282"/>
      <c r="Q758" s="282"/>
      <c r="R758" s="282"/>
      <c r="S758" s="282"/>
      <c r="T758" s="282"/>
      <c r="U758" s="282"/>
      <c r="V758" s="282"/>
    </row>
    <row r="759" spans="2:22" ht="13.5" customHeight="1" outlineLevel="1">
      <c r="B759" s="284" t="s">
        <v>703</v>
      </c>
      <c r="C759" s="223"/>
      <c r="D759" s="223"/>
      <c r="E759" s="223"/>
      <c r="F759" s="223"/>
      <c r="G759" s="223"/>
      <c r="H759" s="223"/>
      <c r="I759" s="223"/>
      <c r="J759" s="223"/>
      <c r="K759" s="223"/>
      <c r="L759" s="223"/>
      <c r="M759" s="282"/>
      <c r="N759" s="282"/>
      <c r="O759" s="282"/>
      <c r="P759" s="282"/>
      <c r="Q759" s="282"/>
      <c r="R759" s="282"/>
      <c r="S759" s="282"/>
      <c r="T759" s="282"/>
      <c r="U759" s="282"/>
      <c r="V759" s="282"/>
    </row>
    <row r="760" spans="2:22" ht="13.5" customHeight="1" outlineLevel="1">
      <c r="B760" s="223" t="s">
        <v>466</v>
      </c>
      <c r="C760" s="223"/>
      <c r="D760" s="223"/>
      <c r="E760" s="223"/>
      <c r="F760" s="223"/>
      <c r="G760" s="223"/>
      <c r="H760" s="223"/>
      <c r="I760" s="223"/>
      <c r="J760" s="223"/>
      <c r="K760" s="223"/>
      <c r="L760" s="223"/>
      <c r="M760" s="214">
        <f>L763</f>
        <v>0</v>
      </c>
      <c r="N760" s="214">
        <f ca="1">M763</f>
        <v>0</v>
      </c>
      <c r="O760" s="214">
        <f t="shared" ref="O760:V760" ca="1" si="878">N763</f>
        <v>0</v>
      </c>
      <c r="P760" s="214">
        <f t="shared" ca="1" si="878"/>
        <v>0</v>
      </c>
      <c r="Q760" s="214">
        <f t="shared" ca="1" si="878"/>
        <v>0</v>
      </c>
      <c r="R760" s="214">
        <f t="shared" ca="1" si="878"/>
        <v>0</v>
      </c>
      <c r="S760" s="214">
        <f t="shared" ca="1" si="878"/>
        <v>0</v>
      </c>
      <c r="T760" s="214">
        <f t="shared" ca="1" si="878"/>
        <v>0</v>
      </c>
      <c r="U760" s="214">
        <f t="shared" ca="1" si="878"/>
        <v>0</v>
      </c>
      <c r="V760" s="214">
        <f t="shared" ca="1" si="878"/>
        <v>0</v>
      </c>
    </row>
    <row r="761" spans="2:22" ht="13.5" customHeight="1" outlineLevel="1">
      <c r="B761" s="223" t="s">
        <v>704</v>
      </c>
      <c r="C761" s="223"/>
      <c r="D761" s="223"/>
      <c r="E761" s="223"/>
      <c r="F761" s="223"/>
      <c r="G761" s="223"/>
      <c r="H761" s="223"/>
      <c r="I761" s="223"/>
      <c r="J761" s="223"/>
      <c r="K761" s="223"/>
      <c r="L761" s="223"/>
      <c r="M761" s="218">
        <f t="shared" ref="M761:V761" si="879">IFERROR(-MIN(M760/L454*M$148,M760),0)</f>
        <v>0</v>
      </c>
      <c r="N761" s="218">
        <f t="shared" ca="1" si="879"/>
        <v>0</v>
      </c>
      <c r="O761" s="218">
        <f t="shared" ca="1" si="879"/>
        <v>0</v>
      </c>
      <c r="P761" s="218">
        <f t="shared" ca="1" si="879"/>
        <v>0</v>
      </c>
      <c r="Q761" s="218">
        <f t="shared" ca="1" si="879"/>
        <v>0</v>
      </c>
      <c r="R761" s="218">
        <f t="shared" ca="1" si="879"/>
        <v>0</v>
      </c>
      <c r="S761" s="218">
        <f t="shared" ca="1" si="879"/>
        <v>0</v>
      </c>
      <c r="T761" s="218">
        <f t="shared" ca="1" si="879"/>
        <v>0</v>
      </c>
      <c r="U761" s="218">
        <f t="shared" ca="1" si="879"/>
        <v>0</v>
      </c>
      <c r="V761" s="218">
        <f t="shared" ca="1" si="879"/>
        <v>0</v>
      </c>
    </row>
    <row r="762" spans="2:22" ht="13.5" customHeight="1" outlineLevel="1">
      <c r="B762" s="223" t="s">
        <v>448</v>
      </c>
      <c r="C762" s="223"/>
      <c r="D762" s="223"/>
      <c r="E762" s="223"/>
      <c r="F762" s="223"/>
      <c r="G762" s="223"/>
      <c r="H762" s="223"/>
      <c r="I762" s="223"/>
      <c r="J762" s="223"/>
      <c r="K762" s="223"/>
      <c r="L762" s="223"/>
      <c r="M762" s="218">
        <f ca="1">IFERROR(SUM(M760:M761)*SUM(M746:M747)/L748,0)</f>
        <v>0</v>
      </c>
      <c r="N762" s="218">
        <f t="shared" ref="N762" ca="1" si="880">IFERROR(SUM(N760:N761)*SUM(N746:N747)/M748,0)</f>
        <v>0</v>
      </c>
      <c r="O762" s="218">
        <f t="shared" ref="O762" ca="1" si="881">IFERROR(SUM(O760:O761)*SUM(O746:O747)/N748,0)</f>
        <v>0</v>
      </c>
      <c r="P762" s="218">
        <f t="shared" ref="P762" ca="1" si="882">IFERROR(SUM(P760:P761)*SUM(P746:P747)/O748,0)</f>
        <v>0</v>
      </c>
      <c r="Q762" s="218">
        <f t="shared" ref="Q762" ca="1" si="883">IFERROR(SUM(Q760:Q761)*SUM(Q746:Q747)/P748,0)</f>
        <v>0</v>
      </c>
      <c r="R762" s="218">
        <f t="shared" ref="R762" ca="1" si="884">IFERROR(SUM(R760:R761)*SUM(R746:R747)/Q748,0)</f>
        <v>0</v>
      </c>
      <c r="S762" s="218">
        <f t="shared" ref="S762" ca="1" si="885">IFERROR(SUM(S760:S761)*SUM(S746:S747)/R748,0)</f>
        <v>0</v>
      </c>
      <c r="T762" s="218">
        <f t="shared" ref="T762" ca="1" si="886">IFERROR(SUM(T760:T761)*SUM(T746:T747)/S748,0)</f>
        <v>0</v>
      </c>
      <c r="U762" s="218">
        <f t="shared" ref="U762" ca="1" si="887">IFERROR(SUM(U760:U761)*SUM(U746:U747)/T748,0)</f>
        <v>0</v>
      </c>
      <c r="V762" s="218">
        <f t="shared" ref="V762" ca="1" si="888">IFERROR(SUM(V760:V761)*SUM(V746:V747)/U748,0)</f>
        <v>0</v>
      </c>
    </row>
    <row r="763" spans="2:22" ht="13.5" customHeight="1" outlineLevel="1">
      <c r="B763" s="279" t="s">
        <v>467</v>
      </c>
      <c r="C763" s="279"/>
      <c r="D763" s="279"/>
      <c r="E763" s="279"/>
      <c r="F763" s="279"/>
      <c r="G763" s="279"/>
      <c r="H763" s="279"/>
      <c r="I763" s="279"/>
      <c r="J763" s="279"/>
      <c r="K763" s="279"/>
      <c r="L763" s="280">
        <f>M1261*O1309</f>
        <v>0</v>
      </c>
      <c r="M763" s="286">
        <f ca="1">SUM(M760:M762)</f>
        <v>0</v>
      </c>
      <c r="N763" s="286">
        <f ca="1">SUM(N760:N762)</f>
        <v>0</v>
      </c>
      <c r="O763" s="286">
        <f t="shared" ref="O763" ca="1" si="889">SUM(O760:O762)</f>
        <v>0</v>
      </c>
      <c r="P763" s="286">
        <f t="shared" ref="P763" ca="1" si="890">SUM(P760:P762)</f>
        <v>0</v>
      </c>
      <c r="Q763" s="286">
        <f t="shared" ref="Q763" ca="1" si="891">SUM(Q760:Q762)</f>
        <v>0</v>
      </c>
      <c r="R763" s="286">
        <f t="shared" ref="R763" ca="1" si="892">SUM(R760:R762)</f>
        <v>0</v>
      </c>
      <c r="S763" s="286">
        <f t="shared" ref="S763" ca="1" si="893">SUM(S760:S762)</f>
        <v>0</v>
      </c>
      <c r="T763" s="286">
        <f t="shared" ref="T763" ca="1" si="894">SUM(T760:T762)</f>
        <v>0</v>
      </c>
      <c r="U763" s="286">
        <f t="shared" ref="U763" ca="1" si="895">SUM(U760:U762)</f>
        <v>0</v>
      </c>
      <c r="V763" s="286">
        <f t="shared" ref="V763" ca="1" si="896">SUM(V760:V762)</f>
        <v>0</v>
      </c>
    </row>
    <row r="764" spans="2:22" ht="13.5" customHeight="1" outlineLevel="1">
      <c r="B764" s="223"/>
      <c r="C764" s="223"/>
      <c r="D764" s="223"/>
      <c r="E764" s="223"/>
      <c r="F764" s="223"/>
      <c r="G764" s="223"/>
      <c r="H764" s="223"/>
      <c r="I764" s="223"/>
      <c r="J764" s="223"/>
      <c r="K764" s="223"/>
      <c r="L764" s="283"/>
      <c r="M764" s="285"/>
      <c r="N764" s="285"/>
      <c r="O764" s="285"/>
      <c r="P764" s="285"/>
      <c r="Q764" s="285"/>
      <c r="R764" s="285"/>
      <c r="S764" s="285"/>
      <c r="T764" s="285"/>
      <c r="U764" s="285"/>
      <c r="V764" s="285"/>
    </row>
    <row r="765" spans="2:22" ht="13.5" customHeight="1" outlineLevel="1">
      <c r="B765" s="284" t="s">
        <v>147</v>
      </c>
      <c r="C765" s="223"/>
      <c r="D765" s="223"/>
      <c r="E765" s="223"/>
      <c r="F765" s="223"/>
      <c r="G765" s="223"/>
      <c r="H765" s="223"/>
      <c r="I765" s="223"/>
      <c r="J765" s="223"/>
      <c r="K765" s="223"/>
      <c r="L765" s="283"/>
      <c r="M765" s="285"/>
      <c r="N765" s="285"/>
      <c r="O765" s="285"/>
      <c r="P765" s="285"/>
      <c r="Q765" s="285"/>
      <c r="R765" s="285"/>
      <c r="S765" s="285"/>
      <c r="T765" s="285"/>
      <c r="U765" s="285"/>
      <c r="V765" s="285"/>
    </row>
    <row r="766" spans="2:22" ht="13.5" customHeight="1" outlineLevel="1">
      <c r="B766" s="223" t="s">
        <v>714</v>
      </c>
      <c r="C766" s="223"/>
      <c r="D766" s="223"/>
      <c r="E766" s="223"/>
      <c r="F766" s="223"/>
      <c r="G766" s="223"/>
      <c r="H766" s="223"/>
      <c r="I766" s="223"/>
      <c r="J766" s="223"/>
      <c r="K766" s="223"/>
      <c r="L766" s="283"/>
      <c r="M766" s="285">
        <f t="shared" ref="M766:V766" si="897">M857*IF(avg_int,AVERAGE(M744,M748),M744)*M$148</f>
        <v>0</v>
      </c>
      <c r="N766" s="285">
        <f t="shared" ca="1" si="897"/>
        <v>0</v>
      </c>
      <c r="O766" s="285">
        <f t="shared" ca="1" si="897"/>
        <v>0</v>
      </c>
      <c r="P766" s="285">
        <f t="shared" ca="1" si="897"/>
        <v>0</v>
      </c>
      <c r="Q766" s="285">
        <f t="shared" ca="1" si="897"/>
        <v>0</v>
      </c>
      <c r="R766" s="285">
        <f t="shared" ca="1" si="897"/>
        <v>0</v>
      </c>
      <c r="S766" s="285">
        <f t="shared" ca="1" si="897"/>
        <v>0</v>
      </c>
      <c r="T766" s="285">
        <f t="shared" ca="1" si="897"/>
        <v>0</v>
      </c>
      <c r="U766" s="285">
        <f t="shared" ca="1" si="897"/>
        <v>0</v>
      </c>
      <c r="V766" s="285">
        <f t="shared" ca="1" si="897"/>
        <v>0</v>
      </c>
    </row>
    <row r="767" spans="2:22" ht="13.5" customHeight="1" outlineLevel="1">
      <c r="B767" s="223" t="s">
        <v>701</v>
      </c>
      <c r="C767" s="223"/>
      <c r="D767" s="223"/>
      <c r="E767" s="223"/>
      <c r="F767" s="223"/>
      <c r="G767" s="223"/>
      <c r="H767" s="223"/>
      <c r="I767" s="223"/>
      <c r="J767" s="223"/>
      <c r="K767" s="223"/>
      <c r="L767" s="283"/>
      <c r="M767" s="218">
        <f>-M761</f>
        <v>0</v>
      </c>
      <c r="N767" s="218">
        <f t="shared" ref="N767:V767" ca="1" si="898">-N761</f>
        <v>0</v>
      </c>
      <c r="O767" s="218">
        <f t="shared" ca="1" si="898"/>
        <v>0</v>
      </c>
      <c r="P767" s="218">
        <f t="shared" ca="1" si="898"/>
        <v>0</v>
      </c>
      <c r="Q767" s="218">
        <f t="shared" ca="1" si="898"/>
        <v>0</v>
      </c>
      <c r="R767" s="218">
        <f t="shared" ca="1" si="898"/>
        <v>0</v>
      </c>
      <c r="S767" s="218">
        <f t="shared" ca="1" si="898"/>
        <v>0</v>
      </c>
      <c r="T767" s="218">
        <f t="shared" ca="1" si="898"/>
        <v>0</v>
      </c>
      <c r="U767" s="218">
        <f t="shared" ca="1" si="898"/>
        <v>0</v>
      </c>
      <c r="V767" s="218">
        <f t="shared" ca="1" si="898"/>
        <v>0</v>
      </c>
    </row>
    <row r="768" spans="2:22" ht="13.5" customHeight="1" outlineLevel="1">
      <c r="B768" s="279" t="s">
        <v>715</v>
      </c>
      <c r="C768" s="279"/>
      <c r="D768" s="279"/>
      <c r="E768" s="279"/>
      <c r="F768" s="279"/>
      <c r="G768" s="279"/>
      <c r="H768" s="279"/>
      <c r="I768" s="279"/>
      <c r="J768" s="279"/>
      <c r="K768" s="279"/>
      <c r="L768" s="280"/>
      <c r="M768" s="286">
        <f>SUM(M766:M767)</f>
        <v>0</v>
      </c>
      <c r="N768" s="286">
        <f t="shared" ref="N768" ca="1" si="899">SUM(N766:N767)</f>
        <v>0</v>
      </c>
      <c r="O768" s="286">
        <f t="shared" ref="O768" ca="1" si="900">SUM(O766:O767)</f>
        <v>0</v>
      </c>
      <c r="P768" s="286">
        <f t="shared" ref="P768" ca="1" si="901">SUM(P766:P767)</f>
        <v>0</v>
      </c>
      <c r="Q768" s="286">
        <f t="shared" ref="Q768" ca="1" si="902">SUM(Q766:Q767)</f>
        <v>0</v>
      </c>
      <c r="R768" s="286">
        <f t="shared" ref="R768" ca="1" si="903">SUM(R766:R767)</f>
        <v>0</v>
      </c>
      <c r="S768" s="286">
        <f t="shared" ref="S768" ca="1" si="904">SUM(S766:S767)</f>
        <v>0</v>
      </c>
      <c r="T768" s="286">
        <f t="shared" ref="T768" ca="1" si="905">SUM(T766:T767)</f>
        <v>0</v>
      </c>
      <c r="U768" s="286">
        <f t="shared" ref="U768" ca="1" si="906">SUM(U766:U767)</f>
        <v>0</v>
      </c>
      <c r="V768" s="286">
        <f t="shared" ref="V768" ca="1" si="907">SUM(V766:V767)</f>
        <v>0</v>
      </c>
    </row>
    <row r="769" spans="2:22" ht="5.0999999999999996" customHeight="1" outlineLevel="1" thickBot="1">
      <c r="B769" s="152"/>
      <c r="C769" s="152"/>
      <c r="D769" s="152"/>
      <c r="E769" s="152"/>
      <c r="F769" s="152"/>
      <c r="G769" s="152"/>
      <c r="H769" s="152"/>
      <c r="I769" s="152"/>
      <c r="J769" s="152"/>
      <c r="K769" s="152"/>
      <c r="L769" s="152"/>
      <c r="M769" s="287"/>
      <c r="N769" s="287"/>
      <c r="O769" s="287"/>
      <c r="P769" s="287"/>
      <c r="Q769" s="287"/>
      <c r="R769" s="287"/>
      <c r="S769" s="287"/>
      <c r="T769" s="287"/>
      <c r="U769" s="287"/>
      <c r="V769" s="287"/>
    </row>
    <row r="770" spans="2:22" ht="13.5" customHeight="1" outlineLevel="1">
      <c r="M770" s="190"/>
      <c r="N770" s="190"/>
      <c r="O770" s="190"/>
      <c r="P770" s="190"/>
      <c r="Q770" s="190"/>
      <c r="R770" s="190"/>
      <c r="S770" s="190"/>
      <c r="T770" s="190"/>
      <c r="U770" s="190"/>
      <c r="V770" s="190"/>
    </row>
    <row r="771" spans="2:22" ht="13.5" customHeight="1" outlineLevel="1">
      <c r="B771" s="273" t="str">
        <f>B1262</f>
        <v>Preferred stock - A</v>
      </c>
      <c r="C771" s="274"/>
      <c r="D771" s="274"/>
      <c r="E771" s="274"/>
      <c r="F771" s="274"/>
      <c r="G771" s="274"/>
      <c r="H771" s="274"/>
      <c r="I771" s="274"/>
      <c r="J771" s="274"/>
      <c r="K771" s="274"/>
      <c r="L771" s="274"/>
      <c r="M771" s="275"/>
      <c r="N771" s="275"/>
      <c r="O771" s="275"/>
      <c r="P771" s="275"/>
      <c r="Q771" s="275"/>
      <c r="R771" s="275"/>
      <c r="S771" s="275"/>
      <c r="T771" s="275"/>
      <c r="U771" s="275"/>
      <c r="V771" s="275"/>
    </row>
    <row r="772" spans="2:22" ht="13.5" customHeight="1" outlineLevel="1">
      <c r="B772" s="284" t="s">
        <v>123</v>
      </c>
      <c r="C772" s="223"/>
      <c r="D772" s="223"/>
      <c r="E772" s="223"/>
      <c r="F772" s="223"/>
      <c r="G772" s="223"/>
      <c r="H772" s="223"/>
      <c r="I772" s="223"/>
      <c r="J772" s="223"/>
      <c r="K772" s="223"/>
      <c r="L772" s="223"/>
      <c r="M772" s="282"/>
      <c r="N772" s="282"/>
      <c r="O772" s="282"/>
      <c r="P772" s="282"/>
      <c r="Q772" s="282"/>
      <c r="R772" s="282"/>
      <c r="S772" s="282"/>
      <c r="T772" s="282"/>
      <c r="U772" s="282"/>
      <c r="V772" s="282"/>
    </row>
    <row r="773" spans="2:22" ht="13.5" customHeight="1" outlineLevel="1">
      <c r="B773" s="223" t="s">
        <v>466</v>
      </c>
      <c r="C773" s="223"/>
      <c r="D773" s="223"/>
      <c r="E773" s="223"/>
      <c r="F773" s="223"/>
      <c r="G773" s="223"/>
      <c r="H773" s="223"/>
      <c r="I773" s="223"/>
      <c r="J773" s="223"/>
      <c r="K773" s="223"/>
      <c r="L773" s="223"/>
      <c r="M773" s="214">
        <f>L777</f>
        <v>10</v>
      </c>
      <c r="N773" s="214">
        <f ca="1">M777</f>
        <v>10.99375</v>
      </c>
      <c r="O773" s="214">
        <f t="shared" ref="O773:V773" ca="1" si="908">N777</f>
        <v>12.438000000000001</v>
      </c>
      <c r="P773" s="214">
        <f t="shared" ca="1" si="908"/>
        <v>14.05556</v>
      </c>
      <c r="Q773" s="214">
        <f t="shared" ca="1" si="908"/>
        <v>14.5084768</v>
      </c>
      <c r="R773" s="214">
        <f t="shared" ca="1" si="908"/>
        <v>14.5084768</v>
      </c>
      <c r="S773" s="214">
        <f t="shared" ca="1" si="908"/>
        <v>14.5084768</v>
      </c>
      <c r="T773" s="214">
        <f t="shared" ca="1" si="908"/>
        <v>14.5084768</v>
      </c>
      <c r="U773" s="214">
        <f t="shared" ca="1" si="908"/>
        <v>14.5084768</v>
      </c>
      <c r="V773" s="214">
        <f t="shared" ca="1" si="908"/>
        <v>14.5084768</v>
      </c>
    </row>
    <row r="774" spans="2:22" ht="13.5" customHeight="1" outlineLevel="1">
      <c r="B774" s="223" t="s">
        <v>697</v>
      </c>
      <c r="C774" s="223"/>
      <c r="D774" s="223"/>
      <c r="E774" s="223"/>
      <c r="F774" s="223"/>
      <c r="G774" s="223"/>
      <c r="H774" s="223"/>
      <c r="I774" s="223"/>
      <c r="J774" s="223"/>
      <c r="K774" s="223"/>
      <c r="L774" s="223"/>
      <c r="M774" s="218">
        <f t="shared" ref="M774:V774" si="909">M888*M871</f>
        <v>0.99374999999999991</v>
      </c>
      <c r="N774" s="218">
        <f t="shared" ca="1" si="909"/>
        <v>1.44425</v>
      </c>
      <c r="O774" s="218">
        <f t="shared" ca="1" si="909"/>
        <v>1.6175600000000001</v>
      </c>
      <c r="P774" s="218">
        <f t="shared" ca="1" si="909"/>
        <v>0.45291679999999995</v>
      </c>
      <c r="Q774" s="218">
        <f t="shared" ca="1" si="909"/>
        <v>0</v>
      </c>
      <c r="R774" s="218">
        <f t="shared" ca="1" si="909"/>
        <v>0</v>
      </c>
      <c r="S774" s="218">
        <f t="shared" ca="1" si="909"/>
        <v>0</v>
      </c>
      <c r="T774" s="218">
        <f t="shared" ca="1" si="909"/>
        <v>0</v>
      </c>
      <c r="U774" s="218">
        <f t="shared" ca="1" si="909"/>
        <v>0</v>
      </c>
      <c r="V774" s="218">
        <f t="shared" ca="1" si="909"/>
        <v>0</v>
      </c>
    </row>
    <row r="775" spans="2:22" ht="13.5" customHeight="1" outlineLevel="1">
      <c r="B775" s="223" t="s">
        <v>698</v>
      </c>
      <c r="C775" s="223"/>
      <c r="D775" s="223"/>
      <c r="E775" s="223"/>
      <c r="F775" s="223"/>
      <c r="G775" s="223"/>
      <c r="H775" s="223"/>
      <c r="I775" s="223"/>
      <c r="J775" s="223"/>
      <c r="K775" s="223"/>
      <c r="L775" s="223"/>
      <c r="M775" s="218">
        <f t="shared" ref="M775:V775" si="910">-MIN(M773,M442*$L777)</f>
        <v>0</v>
      </c>
      <c r="N775" s="218">
        <f t="shared" ca="1" si="910"/>
        <v>0</v>
      </c>
      <c r="O775" s="218">
        <f t="shared" ca="1" si="910"/>
        <v>0</v>
      </c>
      <c r="P775" s="218">
        <f t="shared" ca="1" si="910"/>
        <v>0</v>
      </c>
      <c r="Q775" s="218">
        <f t="shared" ca="1" si="910"/>
        <v>0</v>
      </c>
      <c r="R775" s="218">
        <f t="shared" ca="1" si="910"/>
        <v>0</v>
      </c>
      <c r="S775" s="218">
        <f t="shared" ca="1" si="910"/>
        <v>0</v>
      </c>
      <c r="T775" s="218">
        <f t="shared" ca="1" si="910"/>
        <v>0</v>
      </c>
      <c r="U775" s="218">
        <f t="shared" ca="1" si="910"/>
        <v>0</v>
      </c>
      <c r="V775" s="218">
        <f t="shared" ca="1" si="910"/>
        <v>0</v>
      </c>
    </row>
    <row r="776" spans="2:22" ht="13.5" customHeight="1" outlineLevel="1">
      <c r="B776" s="223" t="s">
        <v>699</v>
      </c>
      <c r="C776" s="223"/>
      <c r="D776" s="223"/>
      <c r="E776" s="223"/>
      <c r="F776" s="223"/>
      <c r="G776" s="223"/>
      <c r="H776" s="223"/>
      <c r="I776" s="223"/>
      <c r="J776" s="223"/>
      <c r="K776" s="223"/>
      <c r="L776" s="223"/>
      <c r="M776" s="218">
        <f t="shared" ref="M776:V776" ca="1" si="911">M489</f>
        <v>0</v>
      </c>
      <c r="N776" s="218">
        <f t="shared" ca="1" si="911"/>
        <v>0</v>
      </c>
      <c r="O776" s="218">
        <f t="shared" ca="1" si="911"/>
        <v>0</v>
      </c>
      <c r="P776" s="218">
        <f t="shared" ca="1" si="911"/>
        <v>0</v>
      </c>
      <c r="Q776" s="218">
        <f t="shared" ca="1" si="911"/>
        <v>0</v>
      </c>
      <c r="R776" s="218">
        <f t="shared" ca="1" si="911"/>
        <v>0</v>
      </c>
      <c r="S776" s="218">
        <f t="shared" ca="1" si="911"/>
        <v>0</v>
      </c>
      <c r="T776" s="218">
        <f t="shared" ca="1" si="911"/>
        <v>0</v>
      </c>
      <c r="U776" s="218">
        <f t="shared" ca="1" si="911"/>
        <v>0</v>
      </c>
      <c r="V776" s="218">
        <f t="shared" ca="1" si="911"/>
        <v>0</v>
      </c>
    </row>
    <row r="777" spans="2:22" ht="13.5" customHeight="1" outlineLevel="1">
      <c r="B777" s="279" t="s">
        <v>467</v>
      </c>
      <c r="C777" s="279"/>
      <c r="D777" s="279"/>
      <c r="E777" s="279"/>
      <c r="F777" s="279"/>
      <c r="G777" s="279"/>
      <c r="H777" s="279"/>
      <c r="I777" s="279"/>
      <c r="J777" s="279"/>
      <c r="K777" s="279"/>
      <c r="L777" s="280">
        <f>M1262</f>
        <v>10</v>
      </c>
      <c r="M777" s="286">
        <f ca="1">SUM(M773:M776)</f>
        <v>10.99375</v>
      </c>
      <c r="N777" s="286">
        <f t="shared" ref="N777" ca="1" si="912">SUM(N773:N776)</f>
        <v>12.438000000000001</v>
      </c>
      <c r="O777" s="286">
        <f t="shared" ref="O777" ca="1" si="913">SUM(O773:O776)</f>
        <v>14.05556</v>
      </c>
      <c r="P777" s="286">
        <f t="shared" ref="P777" ca="1" si="914">SUM(P773:P776)</f>
        <v>14.5084768</v>
      </c>
      <c r="Q777" s="286">
        <f t="shared" ref="Q777" ca="1" si="915">SUM(Q773:Q776)</f>
        <v>14.5084768</v>
      </c>
      <c r="R777" s="286">
        <f t="shared" ref="R777" ca="1" si="916">SUM(R773:R776)</f>
        <v>14.5084768</v>
      </c>
      <c r="S777" s="286">
        <f t="shared" ref="S777" ca="1" si="917">SUM(S773:S776)</f>
        <v>14.5084768</v>
      </c>
      <c r="T777" s="286">
        <f t="shared" ref="T777" ca="1" si="918">SUM(T773:T776)</f>
        <v>14.5084768</v>
      </c>
      <c r="U777" s="286">
        <f t="shared" ref="U777" ca="1" si="919">SUM(U773:U776)</f>
        <v>14.5084768</v>
      </c>
      <c r="V777" s="286">
        <f t="shared" ref="V777" ca="1" si="920">SUM(V773:V776)</f>
        <v>14.5084768</v>
      </c>
    </row>
    <row r="778" spans="2:22" ht="13.5" customHeight="1" outlineLevel="1">
      <c r="B778" s="223"/>
      <c r="C778" s="223"/>
      <c r="D778" s="223"/>
      <c r="E778" s="223"/>
      <c r="F778" s="223"/>
      <c r="G778" s="223"/>
      <c r="H778" s="223"/>
      <c r="I778" s="223"/>
      <c r="J778" s="223"/>
      <c r="K778" s="223"/>
      <c r="L778" s="223"/>
      <c r="M778" s="282"/>
      <c r="N778" s="282"/>
      <c r="O778" s="282"/>
      <c r="P778" s="282"/>
      <c r="Q778" s="282"/>
      <c r="R778" s="282"/>
      <c r="S778" s="282"/>
      <c r="T778" s="282"/>
      <c r="U778" s="282"/>
      <c r="V778" s="282"/>
    </row>
    <row r="779" spans="2:22" ht="13.5" customHeight="1" outlineLevel="1">
      <c r="B779" s="284" t="s">
        <v>700</v>
      </c>
      <c r="C779" s="223"/>
      <c r="D779" s="223"/>
      <c r="E779" s="223"/>
      <c r="F779" s="223"/>
      <c r="G779" s="223"/>
      <c r="H779" s="223"/>
      <c r="I779" s="223"/>
      <c r="J779" s="223"/>
      <c r="K779" s="223"/>
      <c r="L779" s="223"/>
      <c r="M779" s="282"/>
      <c r="N779" s="282"/>
      <c r="O779" s="282"/>
      <c r="P779" s="282"/>
      <c r="Q779" s="282"/>
      <c r="R779" s="282"/>
      <c r="S779" s="282"/>
      <c r="T779" s="282"/>
      <c r="U779" s="282"/>
      <c r="V779" s="282"/>
    </row>
    <row r="780" spans="2:22" ht="13.5" customHeight="1" outlineLevel="1">
      <c r="B780" s="223" t="s">
        <v>466</v>
      </c>
      <c r="C780" s="223"/>
      <c r="D780" s="223"/>
      <c r="E780" s="223"/>
      <c r="F780" s="223"/>
      <c r="G780" s="223"/>
      <c r="H780" s="223"/>
      <c r="I780" s="223"/>
      <c r="J780" s="223"/>
      <c r="K780" s="223"/>
      <c r="L780" s="223"/>
      <c r="M780" s="214">
        <f>L786</f>
        <v>9.5</v>
      </c>
      <c r="N780" s="214">
        <f ca="1">M786</f>
        <v>10.5875</v>
      </c>
      <c r="O780" s="214">
        <f t="shared" ref="O780:V780" ca="1" si="921">N786</f>
        <v>12.156750000000001</v>
      </c>
      <c r="P780" s="214">
        <f t="shared" ca="1" si="921"/>
        <v>13.89931</v>
      </c>
      <c r="Q780" s="214">
        <f t="shared" ca="1" si="921"/>
        <v>14.4772268</v>
      </c>
      <c r="R780" s="214">
        <f t="shared" ca="1" si="921"/>
        <v>14.5084768</v>
      </c>
      <c r="S780" s="214">
        <f t="shared" ca="1" si="921"/>
        <v>14.5084768</v>
      </c>
      <c r="T780" s="214">
        <f t="shared" ca="1" si="921"/>
        <v>14.5084768</v>
      </c>
      <c r="U780" s="214">
        <f t="shared" ca="1" si="921"/>
        <v>14.5084768</v>
      </c>
      <c r="V780" s="214">
        <f t="shared" ca="1" si="921"/>
        <v>14.5084768</v>
      </c>
    </row>
    <row r="781" spans="2:22" ht="13.5" customHeight="1" outlineLevel="1">
      <c r="B781" s="223" t="s">
        <v>701</v>
      </c>
      <c r="C781" s="223"/>
      <c r="D781" s="223"/>
      <c r="E781" s="223"/>
      <c r="F781" s="223"/>
      <c r="G781" s="223"/>
      <c r="H781" s="223"/>
      <c r="I781" s="223"/>
      <c r="J781" s="223"/>
      <c r="K781" s="223"/>
      <c r="L781" s="223"/>
      <c r="M781" s="218">
        <f>-M790</f>
        <v>9.375E-2</v>
      </c>
      <c r="N781" s="218">
        <f t="shared" ref="N781:V781" ca="1" si="922">-N790</f>
        <v>0.125</v>
      </c>
      <c r="O781" s="218">
        <f t="shared" ca="1" si="922"/>
        <v>0.125</v>
      </c>
      <c r="P781" s="218">
        <f t="shared" ca="1" si="922"/>
        <v>0.125</v>
      </c>
      <c r="Q781" s="218">
        <f t="shared" ca="1" si="922"/>
        <v>3.125E-2</v>
      </c>
      <c r="R781" s="218">
        <f t="shared" ca="1" si="922"/>
        <v>0</v>
      </c>
      <c r="S781" s="218">
        <f t="shared" ca="1" si="922"/>
        <v>0</v>
      </c>
      <c r="T781" s="218">
        <f t="shared" ca="1" si="922"/>
        <v>0</v>
      </c>
      <c r="U781" s="218">
        <f t="shared" ca="1" si="922"/>
        <v>0</v>
      </c>
      <c r="V781" s="218">
        <f t="shared" ca="1" si="922"/>
        <v>0</v>
      </c>
    </row>
    <row r="782" spans="2:22" ht="13.5" customHeight="1" outlineLevel="1">
      <c r="B782" s="223" t="s">
        <v>697</v>
      </c>
      <c r="C782" s="223"/>
      <c r="D782" s="223"/>
      <c r="E782" s="223"/>
      <c r="F782" s="223"/>
      <c r="G782" s="223"/>
      <c r="H782" s="223"/>
      <c r="I782" s="223"/>
      <c r="J782" s="223"/>
      <c r="K782" s="223"/>
      <c r="L782" s="223"/>
      <c r="M782" s="218">
        <f>M774</f>
        <v>0.99374999999999991</v>
      </c>
      <c r="N782" s="218">
        <f t="shared" ref="N782:V782" ca="1" si="923">N774</f>
        <v>1.44425</v>
      </c>
      <c r="O782" s="218">
        <f t="shared" ca="1" si="923"/>
        <v>1.6175600000000001</v>
      </c>
      <c r="P782" s="218">
        <f t="shared" ca="1" si="923"/>
        <v>0.45291679999999995</v>
      </c>
      <c r="Q782" s="218">
        <f t="shared" ca="1" si="923"/>
        <v>0</v>
      </c>
      <c r="R782" s="218">
        <f t="shared" ca="1" si="923"/>
        <v>0</v>
      </c>
      <c r="S782" s="218">
        <f t="shared" ca="1" si="923"/>
        <v>0</v>
      </c>
      <c r="T782" s="218">
        <f t="shared" ca="1" si="923"/>
        <v>0</v>
      </c>
      <c r="U782" s="218">
        <f t="shared" ca="1" si="923"/>
        <v>0</v>
      </c>
      <c r="V782" s="218">
        <f t="shared" ca="1" si="923"/>
        <v>0</v>
      </c>
    </row>
    <row r="783" spans="2:22" ht="13.5" customHeight="1" outlineLevel="1">
      <c r="B783" s="223" t="s">
        <v>698</v>
      </c>
      <c r="C783" s="223"/>
      <c r="D783" s="223"/>
      <c r="E783" s="223"/>
      <c r="F783" s="223"/>
      <c r="G783" s="223"/>
      <c r="H783" s="223"/>
      <c r="I783" s="223"/>
      <c r="J783" s="223"/>
      <c r="K783" s="223"/>
      <c r="L783" s="223"/>
      <c r="M783" s="218">
        <f>M775</f>
        <v>0</v>
      </c>
      <c r="N783" s="218">
        <f t="shared" ref="N783:V783" ca="1" si="924">N775</f>
        <v>0</v>
      </c>
      <c r="O783" s="218">
        <f t="shared" ca="1" si="924"/>
        <v>0</v>
      </c>
      <c r="P783" s="218">
        <f t="shared" ca="1" si="924"/>
        <v>0</v>
      </c>
      <c r="Q783" s="218">
        <f t="shared" ca="1" si="924"/>
        <v>0</v>
      </c>
      <c r="R783" s="218">
        <f t="shared" ca="1" si="924"/>
        <v>0</v>
      </c>
      <c r="S783" s="218">
        <f t="shared" ca="1" si="924"/>
        <v>0</v>
      </c>
      <c r="T783" s="218">
        <f t="shared" ca="1" si="924"/>
        <v>0</v>
      </c>
      <c r="U783" s="218">
        <f t="shared" ca="1" si="924"/>
        <v>0</v>
      </c>
      <c r="V783" s="218">
        <f t="shared" ca="1" si="924"/>
        <v>0</v>
      </c>
    </row>
    <row r="784" spans="2:22" ht="13.5" customHeight="1" outlineLevel="1">
      <c r="B784" s="223" t="s">
        <v>699</v>
      </c>
      <c r="C784" s="223"/>
      <c r="D784" s="223"/>
      <c r="E784" s="223"/>
      <c r="F784" s="223"/>
      <c r="G784" s="223"/>
      <c r="H784" s="223"/>
      <c r="I784" s="223"/>
      <c r="J784" s="223"/>
      <c r="K784" s="223"/>
      <c r="L784" s="223"/>
      <c r="M784" s="218">
        <f ca="1">M776</f>
        <v>0</v>
      </c>
      <c r="N784" s="218">
        <f t="shared" ref="N784:V784" ca="1" si="925">N776</f>
        <v>0</v>
      </c>
      <c r="O784" s="218">
        <f t="shared" ca="1" si="925"/>
        <v>0</v>
      </c>
      <c r="P784" s="218">
        <f t="shared" ca="1" si="925"/>
        <v>0</v>
      </c>
      <c r="Q784" s="218">
        <f t="shared" ca="1" si="925"/>
        <v>0</v>
      </c>
      <c r="R784" s="218">
        <f t="shared" ca="1" si="925"/>
        <v>0</v>
      </c>
      <c r="S784" s="218">
        <f t="shared" ca="1" si="925"/>
        <v>0</v>
      </c>
      <c r="T784" s="218">
        <f t="shared" ca="1" si="925"/>
        <v>0</v>
      </c>
      <c r="U784" s="218">
        <f t="shared" ca="1" si="925"/>
        <v>0</v>
      </c>
      <c r="V784" s="218">
        <f t="shared" ca="1" si="925"/>
        <v>0</v>
      </c>
    </row>
    <row r="785" spans="2:22" ht="13.5" customHeight="1" outlineLevel="1">
      <c r="B785" s="223" t="s">
        <v>702</v>
      </c>
      <c r="C785" s="223"/>
      <c r="D785" s="223"/>
      <c r="E785" s="223"/>
      <c r="F785" s="223"/>
      <c r="G785" s="223"/>
      <c r="H785" s="223"/>
      <c r="I785" s="223"/>
      <c r="J785" s="223"/>
      <c r="K785" s="223"/>
      <c r="L785" s="223"/>
      <c r="M785" s="218">
        <f ca="1">-M791</f>
        <v>0</v>
      </c>
      <c r="N785" s="218">
        <f t="shared" ref="N785:V785" ca="1" si="926">-N791</f>
        <v>0</v>
      </c>
      <c r="O785" s="218">
        <f t="shared" ca="1" si="926"/>
        <v>0</v>
      </c>
      <c r="P785" s="218">
        <f t="shared" ca="1" si="926"/>
        <v>0</v>
      </c>
      <c r="Q785" s="218">
        <f t="shared" ca="1" si="926"/>
        <v>0</v>
      </c>
      <c r="R785" s="218">
        <f t="shared" ca="1" si="926"/>
        <v>0</v>
      </c>
      <c r="S785" s="218">
        <f t="shared" ca="1" si="926"/>
        <v>0</v>
      </c>
      <c r="T785" s="218">
        <f t="shared" ca="1" si="926"/>
        <v>0</v>
      </c>
      <c r="U785" s="218">
        <f t="shared" ca="1" si="926"/>
        <v>0</v>
      </c>
      <c r="V785" s="218">
        <f t="shared" ca="1" si="926"/>
        <v>0</v>
      </c>
    </row>
    <row r="786" spans="2:22" ht="13.5" customHeight="1" outlineLevel="1">
      <c r="B786" s="279" t="s">
        <v>467</v>
      </c>
      <c r="C786" s="279"/>
      <c r="D786" s="279"/>
      <c r="E786" s="279"/>
      <c r="F786" s="279"/>
      <c r="G786" s="279"/>
      <c r="H786" s="279"/>
      <c r="I786" s="279"/>
      <c r="J786" s="279"/>
      <c r="K786" s="279"/>
      <c r="L786" s="280">
        <f>L777*(1-$O1310)</f>
        <v>9.5</v>
      </c>
      <c r="M786" s="286">
        <f ca="1">SUM(M780:M785)</f>
        <v>10.5875</v>
      </c>
      <c r="N786" s="286">
        <f t="shared" ref="N786" ca="1" si="927">SUM(N780:N785)</f>
        <v>12.156750000000001</v>
      </c>
      <c r="O786" s="286">
        <f t="shared" ref="O786" ca="1" si="928">SUM(O780:O785)</f>
        <v>13.89931</v>
      </c>
      <c r="P786" s="286">
        <f t="shared" ref="P786" ca="1" si="929">SUM(P780:P785)</f>
        <v>14.4772268</v>
      </c>
      <c r="Q786" s="286">
        <f t="shared" ref="Q786" ca="1" si="930">SUM(Q780:Q785)</f>
        <v>14.5084768</v>
      </c>
      <c r="R786" s="286">
        <f t="shared" ref="R786" ca="1" si="931">SUM(R780:R785)</f>
        <v>14.5084768</v>
      </c>
      <c r="S786" s="286">
        <f t="shared" ref="S786" ca="1" si="932">SUM(S780:S785)</f>
        <v>14.5084768</v>
      </c>
      <c r="T786" s="286">
        <f t="shared" ref="T786" ca="1" si="933">SUM(T780:T785)</f>
        <v>14.5084768</v>
      </c>
      <c r="U786" s="286">
        <f t="shared" ref="U786" ca="1" si="934">SUM(U780:U785)</f>
        <v>14.5084768</v>
      </c>
      <c r="V786" s="286">
        <f t="shared" ref="V786" ca="1" si="935">SUM(V780:V785)</f>
        <v>14.5084768</v>
      </c>
    </row>
    <row r="787" spans="2:22" ht="13.5" customHeight="1" outlineLevel="1">
      <c r="B787" s="223"/>
      <c r="C787" s="223"/>
      <c r="D787" s="223"/>
      <c r="E787" s="223"/>
      <c r="F787" s="223"/>
      <c r="G787" s="223"/>
      <c r="H787" s="223"/>
      <c r="I787" s="223"/>
      <c r="J787" s="223"/>
      <c r="K787" s="223"/>
      <c r="L787" s="223"/>
      <c r="M787" s="282"/>
      <c r="N787" s="282"/>
      <c r="O787" s="282"/>
      <c r="P787" s="282"/>
      <c r="Q787" s="282"/>
      <c r="R787" s="282"/>
      <c r="S787" s="282"/>
      <c r="T787" s="282"/>
      <c r="U787" s="282"/>
      <c r="V787" s="282"/>
    </row>
    <row r="788" spans="2:22" ht="13.5" customHeight="1" outlineLevel="1">
      <c r="B788" s="284" t="s">
        <v>703</v>
      </c>
      <c r="C788" s="223"/>
      <c r="D788" s="223"/>
      <c r="E788" s="223"/>
      <c r="F788" s="223"/>
      <c r="G788" s="223"/>
      <c r="H788" s="223"/>
      <c r="I788" s="223"/>
      <c r="J788" s="223"/>
      <c r="K788" s="223"/>
      <c r="L788" s="223"/>
      <c r="M788" s="282"/>
      <c r="N788" s="282"/>
      <c r="O788" s="282"/>
      <c r="P788" s="282"/>
      <c r="Q788" s="282"/>
      <c r="R788" s="282"/>
      <c r="S788" s="282"/>
      <c r="T788" s="282"/>
      <c r="U788" s="282"/>
      <c r="V788" s="282"/>
    </row>
    <row r="789" spans="2:22" ht="13.5" customHeight="1" outlineLevel="1">
      <c r="B789" s="223" t="s">
        <v>466</v>
      </c>
      <c r="C789" s="223"/>
      <c r="D789" s="223"/>
      <c r="E789" s="223"/>
      <c r="F789" s="223"/>
      <c r="G789" s="223"/>
      <c r="H789" s="223"/>
      <c r="I789" s="223"/>
      <c r="J789" s="223"/>
      <c r="K789" s="223"/>
      <c r="L789" s="223"/>
      <c r="M789" s="214">
        <f>L792</f>
        <v>0.5</v>
      </c>
      <c r="N789" s="214">
        <f ca="1">M792</f>
        <v>0.40625</v>
      </c>
      <c r="O789" s="214">
        <f t="shared" ref="O789:V789" ca="1" si="936">N792</f>
        <v>0.28125</v>
      </c>
      <c r="P789" s="214">
        <f t="shared" ca="1" si="936"/>
        <v>0.15625</v>
      </c>
      <c r="Q789" s="214">
        <f t="shared" ca="1" si="936"/>
        <v>3.125E-2</v>
      </c>
      <c r="R789" s="214">
        <f t="shared" ca="1" si="936"/>
        <v>0</v>
      </c>
      <c r="S789" s="214">
        <f t="shared" ca="1" si="936"/>
        <v>0</v>
      </c>
      <c r="T789" s="214">
        <f t="shared" ca="1" si="936"/>
        <v>0</v>
      </c>
      <c r="U789" s="214">
        <f t="shared" ca="1" si="936"/>
        <v>0</v>
      </c>
      <c r="V789" s="214">
        <f t="shared" ca="1" si="936"/>
        <v>0</v>
      </c>
    </row>
    <row r="790" spans="2:22" ht="13.5" customHeight="1" outlineLevel="1">
      <c r="B790" s="223" t="s">
        <v>704</v>
      </c>
      <c r="C790" s="223"/>
      <c r="D790" s="223"/>
      <c r="E790" s="223"/>
      <c r="F790" s="223"/>
      <c r="G790" s="223"/>
      <c r="H790" s="223"/>
      <c r="I790" s="223"/>
      <c r="J790" s="223"/>
      <c r="K790" s="223"/>
      <c r="L790" s="223"/>
      <c r="M790" s="218">
        <f t="shared" ref="M790:V790" si="937">IFERROR(-MIN(M789/L455*M$148,M789),0)</f>
        <v>-9.375E-2</v>
      </c>
      <c r="N790" s="218">
        <f t="shared" ca="1" si="937"/>
        <v>-0.125</v>
      </c>
      <c r="O790" s="218">
        <f t="shared" ca="1" si="937"/>
        <v>-0.125</v>
      </c>
      <c r="P790" s="218">
        <f t="shared" ca="1" si="937"/>
        <v>-0.125</v>
      </c>
      <c r="Q790" s="218">
        <f t="shared" ca="1" si="937"/>
        <v>-3.125E-2</v>
      </c>
      <c r="R790" s="218">
        <f t="shared" ca="1" si="937"/>
        <v>0</v>
      </c>
      <c r="S790" s="218">
        <f t="shared" ca="1" si="937"/>
        <v>0</v>
      </c>
      <c r="T790" s="218">
        <f t="shared" ca="1" si="937"/>
        <v>0</v>
      </c>
      <c r="U790" s="218">
        <f t="shared" ca="1" si="937"/>
        <v>0</v>
      </c>
      <c r="V790" s="218">
        <f t="shared" ca="1" si="937"/>
        <v>0</v>
      </c>
    </row>
    <row r="791" spans="2:22" ht="13.5" customHeight="1" outlineLevel="1">
      <c r="B791" s="223" t="s">
        <v>448</v>
      </c>
      <c r="C791" s="223"/>
      <c r="D791" s="223"/>
      <c r="E791" s="223"/>
      <c r="F791" s="223"/>
      <c r="G791" s="223"/>
      <c r="H791" s="223"/>
      <c r="I791" s="223"/>
      <c r="J791" s="223"/>
      <c r="K791" s="223"/>
      <c r="L791" s="223"/>
      <c r="M791" s="218">
        <f ca="1">IFERROR(SUM(M789:M790)*SUM(M775:M776)/L777,0)</f>
        <v>0</v>
      </c>
      <c r="N791" s="218">
        <f t="shared" ref="N791" ca="1" si="938">IFERROR(SUM(N789:N790)*SUM(N775:N776)/M777,0)</f>
        <v>0</v>
      </c>
      <c r="O791" s="218">
        <f t="shared" ref="O791" ca="1" si="939">IFERROR(SUM(O789:O790)*SUM(O775:O776)/N777,0)</f>
        <v>0</v>
      </c>
      <c r="P791" s="218">
        <f t="shared" ref="P791" ca="1" si="940">IFERROR(SUM(P789:P790)*SUM(P775:P776)/O777,0)</f>
        <v>0</v>
      </c>
      <c r="Q791" s="218">
        <f t="shared" ref="Q791" ca="1" si="941">IFERROR(SUM(Q789:Q790)*SUM(Q775:Q776)/P777,0)</f>
        <v>0</v>
      </c>
      <c r="R791" s="218">
        <f t="shared" ref="R791" ca="1" si="942">IFERROR(SUM(R789:R790)*SUM(R775:R776)/Q777,0)</f>
        <v>0</v>
      </c>
      <c r="S791" s="218">
        <f t="shared" ref="S791" ca="1" si="943">IFERROR(SUM(S789:S790)*SUM(S775:S776)/R777,0)</f>
        <v>0</v>
      </c>
      <c r="T791" s="218">
        <f t="shared" ref="T791" ca="1" si="944">IFERROR(SUM(T789:T790)*SUM(T775:T776)/S777,0)</f>
        <v>0</v>
      </c>
      <c r="U791" s="218">
        <f t="shared" ref="U791" ca="1" si="945">IFERROR(SUM(U789:U790)*SUM(U775:U776)/T777,0)</f>
        <v>0</v>
      </c>
      <c r="V791" s="218">
        <f t="shared" ref="V791" ca="1" si="946">IFERROR(SUM(V789:V790)*SUM(V775:V776)/U777,0)</f>
        <v>0</v>
      </c>
    </row>
    <row r="792" spans="2:22" ht="13.5" customHeight="1" outlineLevel="1">
      <c r="B792" s="279" t="s">
        <v>467</v>
      </c>
      <c r="C792" s="279"/>
      <c r="D792" s="279"/>
      <c r="E792" s="279"/>
      <c r="F792" s="279"/>
      <c r="G792" s="279"/>
      <c r="H792" s="279"/>
      <c r="I792" s="279"/>
      <c r="J792" s="279"/>
      <c r="K792" s="279"/>
      <c r="L792" s="280">
        <f>M1262*O1310</f>
        <v>0.5</v>
      </c>
      <c r="M792" s="286">
        <f ca="1">SUM(M789:M791)</f>
        <v>0.40625</v>
      </c>
      <c r="N792" s="286">
        <f ca="1">SUM(N789:N791)</f>
        <v>0.28125</v>
      </c>
      <c r="O792" s="286">
        <f t="shared" ref="O792" ca="1" si="947">SUM(O789:O791)</f>
        <v>0.15625</v>
      </c>
      <c r="P792" s="286">
        <f t="shared" ref="P792" ca="1" si="948">SUM(P789:P791)</f>
        <v>3.125E-2</v>
      </c>
      <c r="Q792" s="286">
        <f t="shared" ref="Q792" ca="1" si="949">SUM(Q789:Q791)</f>
        <v>0</v>
      </c>
      <c r="R792" s="286">
        <f t="shared" ref="R792" ca="1" si="950">SUM(R789:R791)</f>
        <v>0</v>
      </c>
      <c r="S792" s="286">
        <f t="shared" ref="S792" ca="1" si="951">SUM(S789:S791)</f>
        <v>0</v>
      </c>
      <c r="T792" s="286">
        <f t="shared" ref="T792" ca="1" si="952">SUM(T789:T791)</f>
        <v>0</v>
      </c>
      <c r="U792" s="286">
        <f t="shared" ref="U792" ca="1" si="953">SUM(U789:U791)</f>
        <v>0</v>
      </c>
      <c r="V792" s="286">
        <f t="shared" ref="V792" ca="1" si="954">SUM(V789:V791)</f>
        <v>0</v>
      </c>
    </row>
    <row r="793" spans="2:22" ht="13.5" customHeight="1" outlineLevel="1">
      <c r="B793" s="223"/>
      <c r="C793" s="223"/>
      <c r="D793" s="223"/>
      <c r="E793" s="223"/>
      <c r="F793" s="223"/>
      <c r="G793" s="223"/>
      <c r="H793" s="223"/>
      <c r="I793" s="223"/>
      <c r="J793" s="223"/>
      <c r="K793" s="223"/>
      <c r="L793" s="283"/>
      <c r="M793" s="285"/>
      <c r="N793" s="285"/>
      <c r="O793" s="285"/>
      <c r="P793" s="285"/>
      <c r="Q793" s="285"/>
      <c r="R793" s="285"/>
      <c r="S793" s="285"/>
      <c r="T793" s="285"/>
      <c r="U793" s="285"/>
      <c r="V793" s="285"/>
    </row>
    <row r="794" spans="2:22" ht="13.5" customHeight="1" outlineLevel="1">
      <c r="B794" s="284" t="s">
        <v>147</v>
      </c>
      <c r="C794" s="223"/>
      <c r="D794" s="223"/>
      <c r="E794" s="223"/>
      <c r="F794" s="223"/>
      <c r="G794" s="223"/>
      <c r="H794" s="223"/>
      <c r="I794" s="223"/>
      <c r="J794" s="223"/>
      <c r="K794" s="223"/>
      <c r="L794" s="283"/>
      <c r="M794" s="285"/>
      <c r="N794" s="285"/>
      <c r="O794" s="285"/>
      <c r="P794" s="285"/>
      <c r="Q794" s="285"/>
      <c r="R794" s="285"/>
      <c r="S794" s="285"/>
      <c r="T794" s="285"/>
      <c r="U794" s="285"/>
      <c r="V794" s="285"/>
    </row>
    <row r="795" spans="2:22" ht="13.5" customHeight="1" outlineLevel="1">
      <c r="B795" s="223" t="s">
        <v>714</v>
      </c>
      <c r="C795" s="223"/>
      <c r="D795" s="223"/>
      <c r="E795" s="223"/>
      <c r="F795" s="223"/>
      <c r="G795" s="223"/>
      <c r="H795" s="223"/>
      <c r="I795" s="223"/>
      <c r="J795" s="223"/>
      <c r="K795" s="223"/>
      <c r="L795" s="283"/>
      <c r="M795" s="285">
        <f t="shared" ref="M795:V795" si="955">M858*IF(avg_int,AVERAGE(M773,M777),M773)*M$148</f>
        <v>0.89999999999999991</v>
      </c>
      <c r="N795" s="285">
        <f t="shared" ca="1" si="955"/>
        <v>1.31925</v>
      </c>
      <c r="O795" s="285">
        <f t="shared" ca="1" si="955"/>
        <v>1.4925600000000001</v>
      </c>
      <c r="P795" s="285">
        <f t="shared" ca="1" si="955"/>
        <v>1.6866671999999998</v>
      </c>
      <c r="Q795" s="285">
        <f t="shared" ca="1" si="955"/>
        <v>1.7410172159999999</v>
      </c>
      <c r="R795" s="285">
        <f t="shared" ca="1" si="955"/>
        <v>1.7410172159999999</v>
      </c>
      <c r="S795" s="285">
        <f t="shared" ca="1" si="955"/>
        <v>1.7410172159999999</v>
      </c>
      <c r="T795" s="285">
        <f t="shared" ca="1" si="955"/>
        <v>1.7410172159999999</v>
      </c>
      <c r="U795" s="285">
        <f t="shared" ca="1" si="955"/>
        <v>1.7410172159999999</v>
      </c>
      <c r="V795" s="285">
        <f t="shared" ca="1" si="955"/>
        <v>1.7410172159999999</v>
      </c>
    </row>
    <row r="796" spans="2:22" ht="13.5" customHeight="1" outlineLevel="1">
      <c r="B796" s="223" t="s">
        <v>701</v>
      </c>
      <c r="C796" s="223"/>
      <c r="D796" s="223"/>
      <c r="E796" s="223"/>
      <c r="F796" s="223"/>
      <c r="G796" s="223"/>
      <c r="H796" s="223"/>
      <c r="I796" s="223"/>
      <c r="J796" s="223"/>
      <c r="K796" s="223"/>
      <c r="L796" s="283"/>
      <c r="M796" s="218">
        <f>-M790</f>
        <v>9.375E-2</v>
      </c>
      <c r="N796" s="218">
        <f t="shared" ref="N796:V796" ca="1" si="956">-N790</f>
        <v>0.125</v>
      </c>
      <c r="O796" s="218">
        <f t="shared" ca="1" si="956"/>
        <v>0.125</v>
      </c>
      <c r="P796" s="218">
        <f t="shared" ca="1" si="956"/>
        <v>0.125</v>
      </c>
      <c r="Q796" s="218">
        <f t="shared" ca="1" si="956"/>
        <v>3.125E-2</v>
      </c>
      <c r="R796" s="218">
        <f t="shared" ca="1" si="956"/>
        <v>0</v>
      </c>
      <c r="S796" s="218">
        <f t="shared" ca="1" si="956"/>
        <v>0</v>
      </c>
      <c r="T796" s="218">
        <f t="shared" ca="1" si="956"/>
        <v>0</v>
      </c>
      <c r="U796" s="218">
        <f t="shared" ca="1" si="956"/>
        <v>0</v>
      </c>
      <c r="V796" s="218">
        <f t="shared" ca="1" si="956"/>
        <v>0</v>
      </c>
    </row>
    <row r="797" spans="2:22" ht="13.5" customHeight="1" outlineLevel="1">
      <c r="B797" s="279" t="s">
        <v>715</v>
      </c>
      <c r="C797" s="279"/>
      <c r="D797" s="279"/>
      <c r="E797" s="279"/>
      <c r="F797" s="279"/>
      <c r="G797" s="279"/>
      <c r="H797" s="279"/>
      <c r="I797" s="279"/>
      <c r="J797" s="279"/>
      <c r="K797" s="279"/>
      <c r="L797" s="280"/>
      <c r="M797" s="286">
        <f>SUM(M795:M796)</f>
        <v>0.99374999999999991</v>
      </c>
      <c r="N797" s="286">
        <f t="shared" ref="N797" ca="1" si="957">SUM(N795:N796)</f>
        <v>1.44425</v>
      </c>
      <c r="O797" s="286">
        <f t="shared" ref="O797" ca="1" si="958">SUM(O795:O796)</f>
        <v>1.6175600000000001</v>
      </c>
      <c r="P797" s="286">
        <f t="shared" ref="P797" ca="1" si="959">SUM(P795:P796)</f>
        <v>1.8116671999999998</v>
      </c>
      <c r="Q797" s="286">
        <f t="shared" ref="Q797" ca="1" si="960">SUM(Q795:Q796)</f>
        <v>1.7722672159999999</v>
      </c>
      <c r="R797" s="286">
        <f t="shared" ref="R797" ca="1" si="961">SUM(R795:R796)</f>
        <v>1.7410172159999999</v>
      </c>
      <c r="S797" s="286">
        <f t="shared" ref="S797" ca="1" si="962">SUM(S795:S796)</f>
        <v>1.7410172159999999</v>
      </c>
      <c r="T797" s="286">
        <f t="shared" ref="T797" ca="1" si="963">SUM(T795:T796)</f>
        <v>1.7410172159999999</v>
      </c>
      <c r="U797" s="286">
        <f t="shared" ref="U797" ca="1" si="964">SUM(U795:U796)</f>
        <v>1.7410172159999999</v>
      </c>
      <c r="V797" s="286">
        <f t="shared" ref="V797" ca="1" si="965">SUM(V795:V796)</f>
        <v>1.7410172159999999</v>
      </c>
    </row>
    <row r="798" spans="2:22" ht="5.0999999999999996" customHeight="1" outlineLevel="1" thickBot="1">
      <c r="B798" s="152"/>
      <c r="C798" s="152"/>
      <c r="D798" s="152"/>
      <c r="E798" s="152"/>
      <c r="F798" s="152"/>
      <c r="G798" s="152"/>
      <c r="H798" s="152"/>
      <c r="I798" s="152"/>
      <c r="J798" s="152"/>
      <c r="K798" s="152"/>
      <c r="L798" s="152"/>
      <c r="M798" s="287"/>
      <c r="N798" s="287"/>
      <c r="O798" s="287"/>
      <c r="P798" s="287"/>
      <c r="Q798" s="287"/>
      <c r="R798" s="287"/>
      <c r="S798" s="287"/>
      <c r="T798" s="287"/>
      <c r="U798" s="287"/>
      <c r="V798" s="287"/>
    </row>
    <row r="799" spans="2:22" ht="13.5" customHeight="1" outlineLevel="1">
      <c r="M799" s="190"/>
      <c r="N799" s="190"/>
      <c r="O799" s="190"/>
      <c r="P799" s="190"/>
      <c r="Q799" s="190"/>
      <c r="R799" s="190"/>
      <c r="S799" s="190"/>
      <c r="T799" s="190"/>
      <c r="U799" s="190"/>
      <c r="V799" s="190"/>
    </row>
    <row r="800" spans="2:22" ht="13.5" customHeight="1" outlineLevel="1">
      <c r="B800" s="273" t="str">
        <f>B1263</f>
        <v>Preferred stock - B</v>
      </c>
      <c r="C800" s="274"/>
      <c r="D800" s="274"/>
      <c r="E800" s="274"/>
      <c r="F800" s="274"/>
      <c r="G800" s="274"/>
      <c r="H800" s="274"/>
      <c r="I800" s="274"/>
      <c r="J800" s="274"/>
      <c r="K800" s="274"/>
      <c r="L800" s="274"/>
      <c r="M800" s="275"/>
      <c r="N800" s="275"/>
      <c r="O800" s="275"/>
      <c r="P800" s="275"/>
      <c r="Q800" s="275"/>
      <c r="R800" s="275"/>
      <c r="S800" s="275"/>
      <c r="T800" s="275"/>
      <c r="U800" s="275"/>
      <c r="V800" s="275"/>
    </row>
    <row r="801" spans="2:22" ht="13.5" customHeight="1" outlineLevel="1">
      <c r="B801" s="284" t="s">
        <v>123</v>
      </c>
      <c r="C801" s="223"/>
      <c r="D801" s="223"/>
      <c r="E801" s="223"/>
      <c r="F801" s="223"/>
      <c r="G801" s="223"/>
      <c r="H801" s="223"/>
      <c r="I801" s="223"/>
      <c r="J801" s="223"/>
      <c r="K801" s="223"/>
      <c r="L801" s="223"/>
      <c r="M801" s="282"/>
      <c r="N801" s="282"/>
      <c r="O801" s="282"/>
      <c r="P801" s="282"/>
      <c r="Q801" s="282"/>
      <c r="R801" s="282"/>
      <c r="S801" s="282"/>
      <c r="T801" s="282"/>
      <c r="U801" s="282"/>
      <c r="V801" s="282"/>
    </row>
    <row r="802" spans="2:22" ht="13.5" customHeight="1" outlineLevel="1">
      <c r="B802" s="223" t="s">
        <v>466</v>
      </c>
      <c r="C802" s="223"/>
      <c r="D802" s="223"/>
      <c r="E802" s="223"/>
      <c r="F802" s="223"/>
      <c r="G802" s="223"/>
      <c r="H802" s="223"/>
      <c r="I802" s="223"/>
      <c r="J802" s="223"/>
      <c r="K802" s="223"/>
      <c r="L802" s="223"/>
      <c r="M802" s="214">
        <f>L806</f>
        <v>0</v>
      </c>
      <c r="N802" s="214">
        <f ca="1">M806</f>
        <v>0</v>
      </c>
      <c r="O802" s="214">
        <f t="shared" ref="O802:V802" ca="1" si="966">N806</f>
        <v>0</v>
      </c>
      <c r="P802" s="214">
        <f t="shared" ca="1" si="966"/>
        <v>0</v>
      </c>
      <c r="Q802" s="214">
        <f t="shared" ca="1" si="966"/>
        <v>0</v>
      </c>
      <c r="R802" s="214">
        <f t="shared" ca="1" si="966"/>
        <v>0</v>
      </c>
      <c r="S802" s="214">
        <f t="shared" ca="1" si="966"/>
        <v>0</v>
      </c>
      <c r="T802" s="214">
        <f t="shared" ca="1" si="966"/>
        <v>0</v>
      </c>
      <c r="U802" s="214">
        <f t="shared" ca="1" si="966"/>
        <v>0</v>
      </c>
      <c r="V802" s="214">
        <f t="shared" ca="1" si="966"/>
        <v>0</v>
      </c>
    </row>
    <row r="803" spans="2:22" ht="13.5" customHeight="1" outlineLevel="1">
      <c r="B803" s="223" t="s">
        <v>697</v>
      </c>
      <c r="C803" s="223"/>
      <c r="D803" s="223"/>
      <c r="E803" s="223"/>
      <c r="F803" s="223"/>
      <c r="G803" s="223"/>
      <c r="H803" s="223"/>
      <c r="I803" s="223"/>
      <c r="J803" s="223"/>
      <c r="K803" s="223"/>
      <c r="L803" s="223"/>
      <c r="M803" s="218">
        <f t="shared" ref="M803:V803" si="967">M889*M872</f>
        <v>0</v>
      </c>
      <c r="N803" s="218">
        <f t="shared" ca="1" si="967"/>
        <v>0</v>
      </c>
      <c r="O803" s="218">
        <f t="shared" ca="1" si="967"/>
        <v>0</v>
      </c>
      <c r="P803" s="218">
        <f t="shared" ca="1" si="967"/>
        <v>0</v>
      </c>
      <c r="Q803" s="218">
        <f t="shared" ca="1" si="967"/>
        <v>0</v>
      </c>
      <c r="R803" s="218">
        <f t="shared" ca="1" si="967"/>
        <v>0</v>
      </c>
      <c r="S803" s="218">
        <f t="shared" ca="1" si="967"/>
        <v>0</v>
      </c>
      <c r="T803" s="218">
        <f t="shared" ca="1" si="967"/>
        <v>0</v>
      </c>
      <c r="U803" s="218">
        <f t="shared" ca="1" si="967"/>
        <v>0</v>
      </c>
      <c r="V803" s="218">
        <f t="shared" ca="1" si="967"/>
        <v>0</v>
      </c>
    </row>
    <row r="804" spans="2:22" ht="13.5" customHeight="1" outlineLevel="1">
      <c r="B804" s="223" t="s">
        <v>698</v>
      </c>
      <c r="C804" s="223"/>
      <c r="D804" s="223"/>
      <c r="E804" s="223"/>
      <c r="F804" s="223"/>
      <c r="G804" s="223"/>
      <c r="H804" s="223"/>
      <c r="I804" s="223"/>
      <c r="J804" s="223"/>
      <c r="K804" s="223"/>
      <c r="L804" s="223"/>
      <c r="M804" s="218">
        <f t="shared" ref="M804:V804" si="968">-MIN(M802,M443*$L806)</f>
        <v>0</v>
      </c>
      <c r="N804" s="218">
        <f t="shared" ca="1" si="968"/>
        <v>0</v>
      </c>
      <c r="O804" s="218">
        <f t="shared" ca="1" si="968"/>
        <v>0</v>
      </c>
      <c r="P804" s="218">
        <f t="shared" ca="1" si="968"/>
        <v>0</v>
      </c>
      <c r="Q804" s="218">
        <f t="shared" ca="1" si="968"/>
        <v>0</v>
      </c>
      <c r="R804" s="218">
        <f t="shared" ca="1" si="968"/>
        <v>0</v>
      </c>
      <c r="S804" s="218">
        <f t="shared" ca="1" si="968"/>
        <v>0</v>
      </c>
      <c r="T804" s="218">
        <f t="shared" ca="1" si="968"/>
        <v>0</v>
      </c>
      <c r="U804" s="218">
        <f t="shared" ca="1" si="968"/>
        <v>0</v>
      </c>
      <c r="V804" s="218">
        <f t="shared" ca="1" si="968"/>
        <v>0</v>
      </c>
    </row>
    <row r="805" spans="2:22" ht="13.5" customHeight="1" outlineLevel="1">
      <c r="B805" s="223" t="s">
        <v>699</v>
      </c>
      <c r="C805" s="223"/>
      <c r="D805" s="223"/>
      <c r="E805" s="223"/>
      <c r="F805" s="223"/>
      <c r="G805" s="223"/>
      <c r="H805" s="223"/>
      <c r="I805" s="223"/>
      <c r="J805" s="223"/>
      <c r="K805" s="223"/>
      <c r="L805" s="223"/>
      <c r="M805" s="218">
        <f t="shared" ref="M805:V805" ca="1" si="969">M490</f>
        <v>0</v>
      </c>
      <c r="N805" s="218">
        <f t="shared" ca="1" si="969"/>
        <v>0</v>
      </c>
      <c r="O805" s="218">
        <f t="shared" ca="1" si="969"/>
        <v>0</v>
      </c>
      <c r="P805" s="218">
        <f t="shared" ca="1" si="969"/>
        <v>0</v>
      </c>
      <c r="Q805" s="218">
        <f t="shared" ca="1" si="969"/>
        <v>0</v>
      </c>
      <c r="R805" s="218">
        <f t="shared" ca="1" si="969"/>
        <v>0</v>
      </c>
      <c r="S805" s="218">
        <f t="shared" ca="1" si="969"/>
        <v>0</v>
      </c>
      <c r="T805" s="218">
        <f t="shared" ca="1" si="969"/>
        <v>0</v>
      </c>
      <c r="U805" s="218">
        <f t="shared" ca="1" si="969"/>
        <v>0</v>
      </c>
      <c r="V805" s="218">
        <f t="shared" ca="1" si="969"/>
        <v>0</v>
      </c>
    </row>
    <row r="806" spans="2:22" ht="13.5" customHeight="1" outlineLevel="1">
      <c r="B806" s="279" t="s">
        <v>467</v>
      </c>
      <c r="C806" s="279"/>
      <c r="D806" s="279"/>
      <c r="E806" s="279"/>
      <c r="F806" s="279"/>
      <c r="G806" s="279"/>
      <c r="H806" s="279"/>
      <c r="I806" s="279"/>
      <c r="J806" s="279"/>
      <c r="K806" s="279"/>
      <c r="L806" s="280">
        <f>M1263</f>
        <v>0</v>
      </c>
      <c r="M806" s="286">
        <f ca="1">SUM(M802:M805)</f>
        <v>0</v>
      </c>
      <c r="N806" s="286">
        <f t="shared" ref="N806" ca="1" si="970">SUM(N802:N805)</f>
        <v>0</v>
      </c>
      <c r="O806" s="286">
        <f t="shared" ref="O806" ca="1" si="971">SUM(O802:O805)</f>
        <v>0</v>
      </c>
      <c r="P806" s="286">
        <f t="shared" ref="P806" ca="1" si="972">SUM(P802:P805)</f>
        <v>0</v>
      </c>
      <c r="Q806" s="286">
        <f t="shared" ref="Q806" ca="1" si="973">SUM(Q802:Q805)</f>
        <v>0</v>
      </c>
      <c r="R806" s="286">
        <f t="shared" ref="R806" ca="1" si="974">SUM(R802:R805)</f>
        <v>0</v>
      </c>
      <c r="S806" s="286">
        <f t="shared" ref="S806" ca="1" si="975">SUM(S802:S805)</f>
        <v>0</v>
      </c>
      <c r="T806" s="286">
        <f t="shared" ref="T806" ca="1" si="976">SUM(T802:T805)</f>
        <v>0</v>
      </c>
      <c r="U806" s="286">
        <f t="shared" ref="U806" ca="1" si="977">SUM(U802:U805)</f>
        <v>0</v>
      </c>
      <c r="V806" s="286">
        <f t="shared" ref="V806" ca="1" si="978">SUM(V802:V805)</f>
        <v>0</v>
      </c>
    </row>
    <row r="807" spans="2:22" ht="13.5" customHeight="1" outlineLevel="1">
      <c r="B807" s="223"/>
      <c r="C807" s="223"/>
      <c r="D807" s="223"/>
      <c r="E807" s="223"/>
      <c r="F807" s="223"/>
      <c r="G807" s="223"/>
      <c r="H807" s="223"/>
      <c r="I807" s="223"/>
      <c r="J807" s="223"/>
      <c r="K807" s="223"/>
      <c r="L807" s="223"/>
      <c r="M807" s="282"/>
      <c r="N807" s="282"/>
      <c r="O807" s="282"/>
      <c r="P807" s="282"/>
      <c r="Q807" s="282"/>
      <c r="R807" s="282"/>
      <c r="S807" s="282"/>
      <c r="T807" s="282"/>
      <c r="U807" s="282"/>
      <c r="V807" s="282"/>
    </row>
    <row r="808" spans="2:22" ht="13.5" customHeight="1" outlineLevel="1">
      <c r="B808" s="284" t="s">
        <v>700</v>
      </c>
      <c r="C808" s="223"/>
      <c r="D808" s="223"/>
      <c r="E808" s="223"/>
      <c r="F808" s="223"/>
      <c r="G808" s="223"/>
      <c r="H808" s="223"/>
      <c r="I808" s="223"/>
      <c r="J808" s="223"/>
      <c r="K808" s="223"/>
      <c r="L808" s="223"/>
      <c r="M808" s="282"/>
      <c r="N808" s="282"/>
      <c r="O808" s="282"/>
      <c r="P808" s="282"/>
      <c r="Q808" s="282"/>
      <c r="R808" s="282"/>
      <c r="S808" s="282"/>
      <c r="T808" s="282"/>
      <c r="U808" s="282"/>
      <c r="V808" s="282"/>
    </row>
    <row r="809" spans="2:22" ht="13.5" customHeight="1" outlineLevel="1">
      <c r="B809" s="223" t="s">
        <v>466</v>
      </c>
      <c r="C809" s="223"/>
      <c r="D809" s="223"/>
      <c r="E809" s="223"/>
      <c r="F809" s="223"/>
      <c r="G809" s="223"/>
      <c r="H809" s="223"/>
      <c r="I809" s="223"/>
      <c r="J809" s="223"/>
      <c r="K809" s="223"/>
      <c r="L809" s="223"/>
      <c r="M809" s="214">
        <f>L815</f>
        <v>0</v>
      </c>
      <c r="N809" s="214">
        <f ca="1">M815</f>
        <v>0</v>
      </c>
      <c r="O809" s="214">
        <f t="shared" ref="O809:V809" ca="1" si="979">N815</f>
        <v>0</v>
      </c>
      <c r="P809" s="214">
        <f t="shared" ca="1" si="979"/>
        <v>0</v>
      </c>
      <c r="Q809" s="214">
        <f t="shared" ca="1" si="979"/>
        <v>0</v>
      </c>
      <c r="R809" s="214">
        <f t="shared" ca="1" si="979"/>
        <v>0</v>
      </c>
      <c r="S809" s="214">
        <f t="shared" ca="1" si="979"/>
        <v>0</v>
      </c>
      <c r="T809" s="214">
        <f t="shared" ca="1" si="979"/>
        <v>0</v>
      </c>
      <c r="U809" s="214">
        <f t="shared" ca="1" si="979"/>
        <v>0</v>
      </c>
      <c r="V809" s="214">
        <f t="shared" ca="1" si="979"/>
        <v>0</v>
      </c>
    </row>
    <row r="810" spans="2:22" ht="13.5" customHeight="1" outlineLevel="1">
      <c r="B810" s="223" t="s">
        <v>701</v>
      </c>
      <c r="C810" s="223"/>
      <c r="D810" s="223"/>
      <c r="E810" s="223"/>
      <c r="F810" s="223"/>
      <c r="G810" s="223"/>
      <c r="H810" s="223"/>
      <c r="I810" s="223"/>
      <c r="J810" s="223"/>
      <c r="K810" s="223"/>
      <c r="L810" s="223"/>
      <c r="M810" s="218">
        <f>-M819</f>
        <v>0</v>
      </c>
      <c r="N810" s="218">
        <f t="shared" ref="N810:V810" ca="1" si="980">-N819</f>
        <v>0</v>
      </c>
      <c r="O810" s="218">
        <f t="shared" ca="1" si="980"/>
        <v>0</v>
      </c>
      <c r="P810" s="218">
        <f t="shared" ca="1" si="980"/>
        <v>0</v>
      </c>
      <c r="Q810" s="218">
        <f t="shared" ca="1" si="980"/>
        <v>0</v>
      </c>
      <c r="R810" s="218">
        <f t="shared" ca="1" si="980"/>
        <v>0</v>
      </c>
      <c r="S810" s="218">
        <f t="shared" ca="1" si="980"/>
        <v>0</v>
      </c>
      <c r="T810" s="218">
        <f t="shared" ca="1" si="980"/>
        <v>0</v>
      </c>
      <c r="U810" s="218">
        <f t="shared" ca="1" si="980"/>
        <v>0</v>
      </c>
      <c r="V810" s="218">
        <f t="shared" ca="1" si="980"/>
        <v>0</v>
      </c>
    </row>
    <row r="811" spans="2:22" ht="13.5" customHeight="1" outlineLevel="1">
      <c r="B811" s="223" t="s">
        <v>697</v>
      </c>
      <c r="C811" s="223"/>
      <c r="D811" s="223"/>
      <c r="E811" s="223"/>
      <c r="F811" s="223"/>
      <c r="G811" s="223"/>
      <c r="H811" s="223"/>
      <c r="I811" s="223"/>
      <c r="J811" s="223"/>
      <c r="K811" s="223"/>
      <c r="L811" s="223"/>
      <c r="M811" s="218">
        <f>M803</f>
        <v>0</v>
      </c>
      <c r="N811" s="218">
        <f t="shared" ref="N811:V811" ca="1" si="981">N803</f>
        <v>0</v>
      </c>
      <c r="O811" s="218">
        <f t="shared" ca="1" si="981"/>
        <v>0</v>
      </c>
      <c r="P811" s="218">
        <f t="shared" ca="1" si="981"/>
        <v>0</v>
      </c>
      <c r="Q811" s="218">
        <f t="shared" ca="1" si="981"/>
        <v>0</v>
      </c>
      <c r="R811" s="218">
        <f t="shared" ca="1" si="981"/>
        <v>0</v>
      </c>
      <c r="S811" s="218">
        <f t="shared" ca="1" si="981"/>
        <v>0</v>
      </c>
      <c r="T811" s="218">
        <f t="shared" ca="1" si="981"/>
        <v>0</v>
      </c>
      <c r="U811" s="218">
        <f t="shared" ca="1" si="981"/>
        <v>0</v>
      </c>
      <c r="V811" s="218">
        <f t="shared" ca="1" si="981"/>
        <v>0</v>
      </c>
    </row>
    <row r="812" spans="2:22" ht="13.5" customHeight="1" outlineLevel="1">
      <c r="B812" s="223" t="s">
        <v>698</v>
      </c>
      <c r="C812" s="223"/>
      <c r="D812" s="223"/>
      <c r="E812" s="223"/>
      <c r="F812" s="223"/>
      <c r="G812" s="223"/>
      <c r="H812" s="223"/>
      <c r="I812" s="223"/>
      <c r="J812" s="223"/>
      <c r="K812" s="223"/>
      <c r="L812" s="223"/>
      <c r="M812" s="218">
        <f>M804</f>
        <v>0</v>
      </c>
      <c r="N812" s="218">
        <f t="shared" ref="N812:V812" ca="1" si="982">N804</f>
        <v>0</v>
      </c>
      <c r="O812" s="218">
        <f t="shared" ca="1" si="982"/>
        <v>0</v>
      </c>
      <c r="P812" s="218">
        <f t="shared" ca="1" si="982"/>
        <v>0</v>
      </c>
      <c r="Q812" s="218">
        <f t="shared" ca="1" si="982"/>
        <v>0</v>
      </c>
      <c r="R812" s="218">
        <f t="shared" ca="1" si="982"/>
        <v>0</v>
      </c>
      <c r="S812" s="218">
        <f t="shared" ca="1" si="982"/>
        <v>0</v>
      </c>
      <c r="T812" s="218">
        <f t="shared" ca="1" si="982"/>
        <v>0</v>
      </c>
      <c r="U812" s="218">
        <f t="shared" ca="1" si="982"/>
        <v>0</v>
      </c>
      <c r="V812" s="218">
        <f t="shared" ca="1" si="982"/>
        <v>0</v>
      </c>
    </row>
    <row r="813" spans="2:22" ht="13.5" customHeight="1" outlineLevel="1">
      <c r="B813" s="223" t="s">
        <v>699</v>
      </c>
      <c r="C813" s="223"/>
      <c r="D813" s="223"/>
      <c r="E813" s="223"/>
      <c r="F813" s="223"/>
      <c r="G813" s="223"/>
      <c r="H813" s="223"/>
      <c r="I813" s="223"/>
      <c r="J813" s="223"/>
      <c r="K813" s="223"/>
      <c r="L813" s="223"/>
      <c r="M813" s="218">
        <f ca="1">M805</f>
        <v>0</v>
      </c>
      <c r="N813" s="218">
        <f t="shared" ref="N813:V813" ca="1" si="983">N805</f>
        <v>0</v>
      </c>
      <c r="O813" s="218">
        <f t="shared" ca="1" si="983"/>
        <v>0</v>
      </c>
      <c r="P813" s="218">
        <f t="shared" ca="1" si="983"/>
        <v>0</v>
      </c>
      <c r="Q813" s="218">
        <f t="shared" ca="1" si="983"/>
        <v>0</v>
      </c>
      <c r="R813" s="218">
        <f t="shared" ca="1" si="983"/>
        <v>0</v>
      </c>
      <c r="S813" s="218">
        <f t="shared" ca="1" si="983"/>
        <v>0</v>
      </c>
      <c r="T813" s="218">
        <f t="shared" ca="1" si="983"/>
        <v>0</v>
      </c>
      <c r="U813" s="218">
        <f t="shared" ca="1" si="983"/>
        <v>0</v>
      </c>
      <c r="V813" s="218">
        <f t="shared" ca="1" si="983"/>
        <v>0</v>
      </c>
    </row>
    <row r="814" spans="2:22" ht="13.5" customHeight="1" outlineLevel="1">
      <c r="B814" s="223" t="s">
        <v>702</v>
      </c>
      <c r="C814" s="223"/>
      <c r="D814" s="223"/>
      <c r="E814" s="223"/>
      <c r="F814" s="223"/>
      <c r="G814" s="223"/>
      <c r="H814" s="223"/>
      <c r="I814" s="223"/>
      <c r="J814" s="223"/>
      <c r="K814" s="223"/>
      <c r="L814" s="223"/>
      <c r="M814" s="218">
        <f ca="1">-M820</f>
        <v>0</v>
      </c>
      <c r="N814" s="218">
        <f t="shared" ref="N814:V814" ca="1" si="984">-N820</f>
        <v>0</v>
      </c>
      <c r="O814" s="218">
        <f t="shared" ca="1" si="984"/>
        <v>0</v>
      </c>
      <c r="P814" s="218">
        <f t="shared" ca="1" si="984"/>
        <v>0</v>
      </c>
      <c r="Q814" s="218">
        <f t="shared" ca="1" si="984"/>
        <v>0</v>
      </c>
      <c r="R814" s="218">
        <f t="shared" ca="1" si="984"/>
        <v>0</v>
      </c>
      <c r="S814" s="218">
        <f t="shared" ca="1" si="984"/>
        <v>0</v>
      </c>
      <c r="T814" s="218">
        <f t="shared" ca="1" si="984"/>
        <v>0</v>
      </c>
      <c r="U814" s="218">
        <f t="shared" ca="1" si="984"/>
        <v>0</v>
      </c>
      <c r="V814" s="218">
        <f t="shared" ca="1" si="984"/>
        <v>0</v>
      </c>
    </row>
    <row r="815" spans="2:22" ht="13.5" customHeight="1" outlineLevel="1">
      <c r="B815" s="279" t="s">
        <v>467</v>
      </c>
      <c r="C815" s="279"/>
      <c r="D815" s="279"/>
      <c r="E815" s="279"/>
      <c r="F815" s="279"/>
      <c r="G815" s="279"/>
      <c r="H815" s="279"/>
      <c r="I815" s="279"/>
      <c r="J815" s="279"/>
      <c r="K815" s="279"/>
      <c r="L815" s="280">
        <f>L806*(1-$O1311)</f>
        <v>0</v>
      </c>
      <c r="M815" s="286">
        <f ca="1">SUM(M809:M814)</f>
        <v>0</v>
      </c>
      <c r="N815" s="286">
        <f t="shared" ref="N815" ca="1" si="985">SUM(N809:N814)</f>
        <v>0</v>
      </c>
      <c r="O815" s="286">
        <f t="shared" ref="O815" ca="1" si="986">SUM(O809:O814)</f>
        <v>0</v>
      </c>
      <c r="P815" s="286">
        <f t="shared" ref="P815" ca="1" si="987">SUM(P809:P814)</f>
        <v>0</v>
      </c>
      <c r="Q815" s="286">
        <f t="shared" ref="Q815" ca="1" si="988">SUM(Q809:Q814)</f>
        <v>0</v>
      </c>
      <c r="R815" s="286">
        <f t="shared" ref="R815" ca="1" si="989">SUM(R809:R814)</f>
        <v>0</v>
      </c>
      <c r="S815" s="286">
        <f t="shared" ref="S815" ca="1" si="990">SUM(S809:S814)</f>
        <v>0</v>
      </c>
      <c r="T815" s="286">
        <f t="shared" ref="T815" ca="1" si="991">SUM(T809:T814)</f>
        <v>0</v>
      </c>
      <c r="U815" s="286">
        <f t="shared" ref="U815" ca="1" si="992">SUM(U809:U814)</f>
        <v>0</v>
      </c>
      <c r="V815" s="286">
        <f t="shared" ref="V815" ca="1" si="993">SUM(V809:V814)</f>
        <v>0</v>
      </c>
    </row>
    <row r="816" spans="2:22" ht="13.5" customHeight="1" outlineLevel="1">
      <c r="B816" s="223"/>
      <c r="C816" s="223"/>
      <c r="D816" s="223"/>
      <c r="E816" s="223"/>
      <c r="F816" s="223"/>
      <c r="G816" s="223"/>
      <c r="H816" s="223"/>
      <c r="I816" s="223"/>
      <c r="J816" s="223"/>
      <c r="K816" s="223"/>
      <c r="L816" s="223"/>
      <c r="M816" s="282"/>
      <c r="N816" s="282"/>
      <c r="O816" s="282"/>
      <c r="P816" s="282"/>
      <c r="Q816" s="282"/>
      <c r="R816" s="282"/>
      <c r="S816" s="282"/>
      <c r="T816" s="282"/>
      <c r="U816" s="282"/>
      <c r="V816" s="282"/>
    </row>
    <row r="817" spans="2:22" ht="13.5" customHeight="1" outlineLevel="1">
      <c r="B817" s="284" t="s">
        <v>703</v>
      </c>
      <c r="C817" s="223"/>
      <c r="D817" s="223"/>
      <c r="E817" s="223"/>
      <c r="F817" s="223"/>
      <c r="G817" s="223"/>
      <c r="H817" s="223"/>
      <c r="I817" s="223"/>
      <c r="J817" s="223"/>
      <c r="K817" s="223"/>
      <c r="L817" s="223"/>
      <c r="M817" s="282"/>
      <c r="N817" s="282"/>
      <c r="O817" s="282"/>
      <c r="P817" s="282"/>
      <c r="Q817" s="282"/>
      <c r="R817" s="282"/>
      <c r="S817" s="282"/>
      <c r="T817" s="282"/>
      <c r="U817" s="282"/>
      <c r="V817" s="282"/>
    </row>
    <row r="818" spans="2:22" ht="13.5" customHeight="1" outlineLevel="1">
      <c r="B818" s="223" t="s">
        <v>466</v>
      </c>
      <c r="C818" s="223"/>
      <c r="D818" s="223"/>
      <c r="E818" s="223"/>
      <c r="F818" s="223"/>
      <c r="G818" s="223"/>
      <c r="H818" s="223"/>
      <c r="I818" s="223"/>
      <c r="J818" s="223"/>
      <c r="K818" s="223"/>
      <c r="L818" s="223"/>
      <c r="M818" s="214">
        <f>L821</f>
        <v>0</v>
      </c>
      <c r="N818" s="214">
        <f ca="1">M821</f>
        <v>0</v>
      </c>
      <c r="O818" s="214">
        <f t="shared" ref="O818:V818" ca="1" si="994">N821</f>
        <v>0</v>
      </c>
      <c r="P818" s="214">
        <f t="shared" ca="1" si="994"/>
        <v>0</v>
      </c>
      <c r="Q818" s="214">
        <f t="shared" ca="1" si="994"/>
        <v>0</v>
      </c>
      <c r="R818" s="214">
        <f t="shared" ca="1" si="994"/>
        <v>0</v>
      </c>
      <c r="S818" s="214">
        <f t="shared" ca="1" si="994"/>
        <v>0</v>
      </c>
      <c r="T818" s="214">
        <f t="shared" ca="1" si="994"/>
        <v>0</v>
      </c>
      <c r="U818" s="214">
        <f t="shared" ca="1" si="994"/>
        <v>0</v>
      </c>
      <c r="V818" s="214">
        <f t="shared" ca="1" si="994"/>
        <v>0</v>
      </c>
    </row>
    <row r="819" spans="2:22" ht="13.5" customHeight="1" outlineLevel="1">
      <c r="B819" s="223" t="s">
        <v>704</v>
      </c>
      <c r="C819" s="223"/>
      <c r="D819" s="223"/>
      <c r="E819" s="223"/>
      <c r="F819" s="223"/>
      <c r="G819" s="223"/>
      <c r="H819" s="223"/>
      <c r="I819" s="223"/>
      <c r="J819" s="223"/>
      <c r="K819" s="223"/>
      <c r="L819" s="223"/>
      <c r="M819" s="218">
        <f t="shared" ref="M819:V819" si="995">IFERROR(-MIN(M818/L456*M$148,M818),0)</f>
        <v>0</v>
      </c>
      <c r="N819" s="218">
        <f t="shared" ca="1" si="995"/>
        <v>0</v>
      </c>
      <c r="O819" s="218">
        <f t="shared" ca="1" si="995"/>
        <v>0</v>
      </c>
      <c r="P819" s="218">
        <f t="shared" ca="1" si="995"/>
        <v>0</v>
      </c>
      <c r="Q819" s="218">
        <f t="shared" ca="1" si="995"/>
        <v>0</v>
      </c>
      <c r="R819" s="218">
        <f t="shared" ca="1" si="995"/>
        <v>0</v>
      </c>
      <c r="S819" s="218">
        <f t="shared" ca="1" si="995"/>
        <v>0</v>
      </c>
      <c r="T819" s="218">
        <f t="shared" ca="1" si="995"/>
        <v>0</v>
      </c>
      <c r="U819" s="218">
        <f t="shared" ca="1" si="995"/>
        <v>0</v>
      </c>
      <c r="V819" s="218">
        <f t="shared" ca="1" si="995"/>
        <v>0</v>
      </c>
    </row>
    <row r="820" spans="2:22" ht="13.5" customHeight="1" outlineLevel="1">
      <c r="B820" s="223" t="s">
        <v>448</v>
      </c>
      <c r="C820" s="223"/>
      <c r="D820" s="223"/>
      <c r="E820" s="223"/>
      <c r="F820" s="223"/>
      <c r="G820" s="223"/>
      <c r="H820" s="223"/>
      <c r="I820" s="223"/>
      <c r="J820" s="223"/>
      <c r="K820" s="223"/>
      <c r="L820" s="223"/>
      <c r="M820" s="218">
        <f ca="1">IFERROR(SUM(M818:M819)*SUM(M804:M805)/L806,0)</f>
        <v>0</v>
      </c>
      <c r="N820" s="218">
        <f t="shared" ref="N820" ca="1" si="996">IFERROR(SUM(N818:N819)*SUM(N804:N805)/M806,0)</f>
        <v>0</v>
      </c>
      <c r="O820" s="218">
        <f t="shared" ref="O820" ca="1" si="997">IFERROR(SUM(O818:O819)*SUM(O804:O805)/N806,0)</f>
        <v>0</v>
      </c>
      <c r="P820" s="218">
        <f t="shared" ref="P820" ca="1" si="998">IFERROR(SUM(P818:P819)*SUM(P804:P805)/O806,0)</f>
        <v>0</v>
      </c>
      <c r="Q820" s="218">
        <f t="shared" ref="Q820" ca="1" si="999">IFERROR(SUM(Q818:Q819)*SUM(Q804:Q805)/P806,0)</f>
        <v>0</v>
      </c>
      <c r="R820" s="218">
        <f t="shared" ref="R820" ca="1" si="1000">IFERROR(SUM(R818:R819)*SUM(R804:R805)/Q806,0)</f>
        <v>0</v>
      </c>
      <c r="S820" s="218">
        <f t="shared" ref="S820" ca="1" si="1001">IFERROR(SUM(S818:S819)*SUM(S804:S805)/R806,0)</f>
        <v>0</v>
      </c>
      <c r="T820" s="218">
        <f t="shared" ref="T820" ca="1" si="1002">IFERROR(SUM(T818:T819)*SUM(T804:T805)/S806,0)</f>
        <v>0</v>
      </c>
      <c r="U820" s="218">
        <f t="shared" ref="U820" ca="1" si="1003">IFERROR(SUM(U818:U819)*SUM(U804:U805)/T806,0)</f>
        <v>0</v>
      </c>
      <c r="V820" s="218">
        <f t="shared" ref="V820" ca="1" si="1004">IFERROR(SUM(V818:V819)*SUM(V804:V805)/U806,0)</f>
        <v>0</v>
      </c>
    </row>
    <row r="821" spans="2:22" ht="13.5" customHeight="1" outlineLevel="1">
      <c r="B821" s="279" t="s">
        <v>467</v>
      </c>
      <c r="C821" s="279"/>
      <c r="D821" s="279"/>
      <c r="E821" s="279"/>
      <c r="F821" s="279"/>
      <c r="G821" s="279"/>
      <c r="H821" s="279"/>
      <c r="I821" s="279"/>
      <c r="J821" s="279"/>
      <c r="K821" s="279"/>
      <c r="L821" s="280">
        <f>M1263*O1311</f>
        <v>0</v>
      </c>
      <c r="M821" s="286">
        <f ca="1">SUM(M818:M820)</f>
        <v>0</v>
      </c>
      <c r="N821" s="286">
        <f ca="1">SUM(N818:N820)</f>
        <v>0</v>
      </c>
      <c r="O821" s="286">
        <f t="shared" ref="O821" ca="1" si="1005">SUM(O818:O820)</f>
        <v>0</v>
      </c>
      <c r="P821" s="286">
        <f t="shared" ref="P821" ca="1" si="1006">SUM(P818:P820)</f>
        <v>0</v>
      </c>
      <c r="Q821" s="286">
        <f t="shared" ref="Q821" ca="1" si="1007">SUM(Q818:Q820)</f>
        <v>0</v>
      </c>
      <c r="R821" s="286">
        <f t="shared" ref="R821" ca="1" si="1008">SUM(R818:R820)</f>
        <v>0</v>
      </c>
      <c r="S821" s="286">
        <f t="shared" ref="S821" ca="1" si="1009">SUM(S818:S820)</f>
        <v>0</v>
      </c>
      <c r="T821" s="286">
        <f t="shared" ref="T821" ca="1" si="1010">SUM(T818:T820)</f>
        <v>0</v>
      </c>
      <c r="U821" s="286">
        <f t="shared" ref="U821" ca="1" si="1011">SUM(U818:U820)</f>
        <v>0</v>
      </c>
      <c r="V821" s="286">
        <f t="shared" ref="V821" ca="1" si="1012">SUM(V818:V820)</f>
        <v>0</v>
      </c>
    </row>
    <row r="822" spans="2:22" ht="13.5" customHeight="1" outlineLevel="1">
      <c r="B822" s="223"/>
      <c r="C822" s="223"/>
      <c r="D822" s="223"/>
      <c r="E822" s="223"/>
      <c r="F822" s="223"/>
      <c r="G822" s="223"/>
      <c r="H822" s="223"/>
      <c r="I822" s="223"/>
      <c r="J822" s="223"/>
      <c r="K822" s="223"/>
      <c r="L822" s="283"/>
      <c r="M822" s="285"/>
      <c r="N822" s="285"/>
      <c r="O822" s="285"/>
      <c r="P822" s="285"/>
      <c r="Q822" s="285"/>
      <c r="R822" s="285"/>
      <c r="S822" s="285"/>
      <c r="T822" s="285"/>
      <c r="U822" s="285"/>
      <c r="V822" s="285"/>
    </row>
    <row r="823" spans="2:22" ht="13.5" customHeight="1" outlineLevel="1">
      <c r="B823" s="284" t="s">
        <v>147</v>
      </c>
      <c r="C823" s="223"/>
      <c r="D823" s="223"/>
      <c r="E823" s="223"/>
      <c r="F823" s="223"/>
      <c r="G823" s="223"/>
      <c r="H823" s="223"/>
      <c r="I823" s="223"/>
      <c r="J823" s="223"/>
      <c r="K823" s="223"/>
      <c r="L823" s="283"/>
      <c r="M823" s="285"/>
      <c r="N823" s="285"/>
      <c r="O823" s="285"/>
      <c r="P823" s="285"/>
      <c r="Q823" s="285"/>
      <c r="R823" s="285"/>
      <c r="S823" s="285"/>
      <c r="T823" s="285"/>
      <c r="U823" s="285"/>
      <c r="V823" s="285"/>
    </row>
    <row r="824" spans="2:22" ht="13.5" customHeight="1" outlineLevel="1">
      <c r="B824" s="223" t="s">
        <v>714</v>
      </c>
      <c r="C824" s="223"/>
      <c r="D824" s="223"/>
      <c r="E824" s="223"/>
      <c r="F824" s="223"/>
      <c r="G824" s="223"/>
      <c r="H824" s="223"/>
      <c r="I824" s="223"/>
      <c r="J824" s="223"/>
      <c r="K824" s="223"/>
      <c r="L824" s="283"/>
      <c r="M824" s="285">
        <f t="shared" ref="M824:V824" si="1013">M859*IF(avg_int,AVERAGE(M802,M806),M802)*M$148</f>
        <v>0</v>
      </c>
      <c r="N824" s="285">
        <f t="shared" ca="1" si="1013"/>
        <v>0</v>
      </c>
      <c r="O824" s="285">
        <f t="shared" ca="1" si="1013"/>
        <v>0</v>
      </c>
      <c r="P824" s="285">
        <f t="shared" ca="1" si="1013"/>
        <v>0</v>
      </c>
      <c r="Q824" s="285">
        <f t="shared" ca="1" si="1013"/>
        <v>0</v>
      </c>
      <c r="R824" s="285">
        <f t="shared" ca="1" si="1013"/>
        <v>0</v>
      </c>
      <c r="S824" s="285">
        <f t="shared" ca="1" si="1013"/>
        <v>0</v>
      </c>
      <c r="T824" s="285">
        <f t="shared" ca="1" si="1013"/>
        <v>0</v>
      </c>
      <c r="U824" s="285">
        <f t="shared" ca="1" si="1013"/>
        <v>0</v>
      </c>
      <c r="V824" s="285">
        <f t="shared" ca="1" si="1013"/>
        <v>0</v>
      </c>
    </row>
    <row r="825" spans="2:22" ht="13.5" customHeight="1" outlineLevel="1">
      <c r="B825" s="223" t="s">
        <v>701</v>
      </c>
      <c r="C825" s="223"/>
      <c r="D825" s="223"/>
      <c r="E825" s="223"/>
      <c r="F825" s="223"/>
      <c r="G825" s="223"/>
      <c r="H825" s="223"/>
      <c r="I825" s="223"/>
      <c r="J825" s="223"/>
      <c r="K825" s="223"/>
      <c r="L825" s="283"/>
      <c r="M825" s="218">
        <f>-M819</f>
        <v>0</v>
      </c>
      <c r="N825" s="218">
        <f t="shared" ref="N825:V825" ca="1" si="1014">-N819</f>
        <v>0</v>
      </c>
      <c r="O825" s="218">
        <f t="shared" ca="1" si="1014"/>
        <v>0</v>
      </c>
      <c r="P825" s="218">
        <f t="shared" ca="1" si="1014"/>
        <v>0</v>
      </c>
      <c r="Q825" s="218">
        <f t="shared" ca="1" si="1014"/>
        <v>0</v>
      </c>
      <c r="R825" s="218">
        <f t="shared" ca="1" si="1014"/>
        <v>0</v>
      </c>
      <c r="S825" s="218">
        <f t="shared" ca="1" si="1014"/>
        <v>0</v>
      </c>
      <c r="T825" s="218">
        <f t="shared" ca="1" si="1014"/>
        <v>0</v>
      </c>
      <c r="U825" s="218">
        <f t="shared" ca="1" si="1014"/>
        <v>0</v>
      </c>
      <c r="V825" s="218">
        <f t="shared" ca="1" si="1014"/>
        <v>0</v>
      </c>
    </row>
    <row r="826" spans="2:22" ht="13.5" customHeight="1" outlineLevel="1">
      <c r="B826" s="279" t="s">
        <v>715</v>
      </c>
      <c r="C826" s="279"/>
      <c r="D826" s="279"/>
      <c r="E826" s="279"/>
      <c r="F826" s="279"/>
      <c r="G826" s="279"/>
      <c r="H826" s="279"/>
      <c r="I826" s="279"/>
      <c r="J826" s="279"/>
      <c r="K826" s="279"/>
      <c r="L826" s="280"/>
      <c r="M826" s="286">
        <f>SUM(M824:M825)</f>
        <v>0</v>
      </c>
      <c r="N826" s="286">
        <f t="shared" ref="N826" ca="1" si="1015">SUM(N824:N825)</f>
        <v>0</v>
      </c>
      <c r="O826" s="286">
        <f t="shared" ref="O826" ca="1" si="1016">SUM(O824:O825)</f>
        <v>0</v>
      </c>
      <c r="P826" s="286">
        <f t="shared" ref="P826" ca="1" si="1017">SUM(P824:P825)</f>
        <v>0</v>
      </c>
      <c r="Q826" s="286">
        <f t="shared" ref="Q826" ca="1" si="1018">SUM(Q824:Q825)</f>
        <v>0</v>
      </c>
      <c r="R826" s="286">
        <f t="shared" ref="R826" ca="1" si="1019">SUM(R824:R825)</f>
        <v>0</v>
      </c>
      <c r="S826" s="286">
        <f t="shared" ref="S826" ca="1" si="1020">SUM(S824:S825)</f>
        <v>0</v>
      </c>
      <c r="T826" s="286">
        <f t="shared" ref="T826" ca="1" si="1021">SUM(T824:T825)</f>
        <v>0</v>
      </c>
      <c r="U826" s="286">
        <f t="shared" ref="U826" ca="1" si="1022">SUM(U824:U825)</f>
        <v>0</v>
      </c>
      <c r="V826" s="286">
        <f t="shared" ref="V826" ca="1" si="1023">SUM(V824:V825)</f>
        <v>0</v>
      </c>
    </row>
    <row r="827" spans="2:22" ht="5.0999999999999996" customHeight="1" outlineLevel="1" thickBot="1">
      <c r="B827" s="152"/>
      <c r="C827" s="152"/>
      <c r="D827" s="152"/>
      <c r="E827" s="152"/>
      <c r="F827" s="152"/>
      <c r="G827" s="152"/>
      <c r="H827" s="152"/>
      <c r="I827" s="152"/>
      <c r="J827" s="152"/>
      <c r="K827" s="152"/>
      <c r="L827" s="152"/>
      <c r="M827" s="287"/>
      <c r="N827" s="287"/>
      <c r="O827" s="287"/>
      <c r="P827" s="287"/>
      <c r="Q827" s="287"/>
      <c r="R827" s="287"/>
      <c r="S827" s="287"/>
      <c r="T827" s="287"/>
      <c r="U827" s="287"/>
      <c r="V827" s="287"/>
    </row>
    <row r="828" spans="2:22" ht="13.5" customHeight="1" outlineLevel="1">
      <c r="M828" s="190"/>
      <c r="N828" s="190"/>
      <c r="O828" s="190"/>
      <c r="P828" s="190"/>
      <c r="Q828" s="190"/>
      <c r="R828" s="190"/>
      <c r="S828" s="190"/>
      <c r="T828" s="190"/>
      <c r="U828" s="190"/>
      <c r="V828" s="190"/>
    </row>
    <row r="829" spans="2:22" s="35" customFormat="1" ht="13.5" customHeight="1" outlineLevel="1">
      <c r="B829" s="46" t="s">
        <v>719</v>
      </c>
      <c r="C829" s="47"/>
      <c r="D829" s="47"/>
      <c r="E829" s="47"/>
      <c r="F829" s="47"/>
      <c r="G829" s="47"/>
      <c r="H829" s="47"/>
      <c r="I829" s="47"/>
      <c r="J829" s="47"/>
      <c r="K829" s="47"/>
      <c r="L829" s="47"/>
      <c r="M829" s="47"/>
      <c r="N829" s="47"/>
      <c r="O829" s="47"/>
      <c r="P829" s="47"/>
      <c r="Q829" s="47"/>
      <c r="R829" s="47"/>
      <c r="S829" s="47"/>
      <c r="T829" s="47"/>
      <c r="U829" s="47"/>
      <c r="V829" s="48"/>
    </row>
    <row r="830" spans="2:22" s="35" customFormat="1" ht="5.0999999999999996" customHeight="1" outlineLevel="1"/>
    <row r="831" spans="2:22" ht="13.5" customHeight="1" outlineLevel="1">
      <c r="B831" s="38" t="s">
        <v>356</v>
      </c>
      <c r="M831" s="288">
        <f>-M529-M558-M587-M616-M645-M674-M703-M732-M761-M790-M819</f>
        <v>1.5</v>
      </c>
      <c r="N831" s="288">
        <f t="shared" ref="N831:V831" ca="1" si="1024">-N529-N558-N587-N616-N645-N674-N703-N732-N761-N790-N819</f>
        <v>2</v>
      </c>
      <c r="O831" s="288">
        <f t="shared" ca="1" si="1024"/>
        <v>2</v>
      </c>
      <c r="P831" s="288">
        <f t="shared" ca="1" si="1024"/>
        <v>2</v>
      </c>
      <c r="Q831" s="288">
        <f t="shared" ca="1" si="1024"/>
        <v>0.5</v>
      </c>
      <c r="R831" s="288">
        <f t="shared" ca="1" si="1024"/>
        <v>0</v>
      </c>
      <c r="S831" s="288">
        <f t="shared" ca="1" si="1024"/>
        <v>0</v>
      </c>
      <c r="T831" s="288">
        <f t="shared" ca="1" si="1024"/>
        <v>0</v>
      </c>
      <c r="U831" s="288">
        <f t="shared" ca="1" si="1024"/>
        <v>0</v>
      </c>
      <c r="V831" s="288">
        <f t="shared" ca="1" si="1024"/>
        <v>0</v>
      </c>
    </row>
    <row r="832" spans="2:22" ht="13.5" customHeight="1" outlineLevel="1">
      <c r="B832" s="38" t="s">
        <v>357</v>
      </c>
      <c r="M832" s="57">
        <f ca="1">-M530-M559-M588-M617-M646-M675-M704-M733-M762-M791-M820</f>
        <v>0</v>
      </c>
      <c r="N832" s="57">
        <f t="shared" ref="N832:V832" ca="1" si="1025">-N530-N559-N588-N617-N646-N675-N704-N733-N762-N791-N820</f>
        <v>0</v>
      </c>
      <c r="O832" s="57">
        <f t="shared" ca="1" si="1025"/>
        <v>0</v>
      </c>
      <c r="P832" s="57">
        <f t="shared" ca="1" si="1025"/>
        <v>0</v>
      </c>
      <c r="Q832" s="57">
        <f t="shared" ca="1" si="1025"/>
        <v>0</v>
      </c>
      <c r="R832" s="57">
        <f t="shared" ca="1" si="1025"/>
        <v>0</v>
      </c>
      <c r="S832" s="57">
        <f t="shared" ca="1" si="1025"/>
        <v>0</v>
      </c>
      <c r="T832" s="57">
        <f t="shared" ca="1" si="1025"/>
        <v>0</v>
      </c>
      <c r="U832" s="57">
        <f t="shared" ca="1" si="1025"/>
        <v>0</v>
      </c>
      <c r="V832" s="57">
        <f t="shared" ca="1" si="1025"/>
        <v>0</v>
      </c>
    </row>
    <row r="833" spans="1:22" ht="5.0999999999999996" customHeight="1" outlineLevel="1" thickBot="1">
      <c r="B833" s="152"/>
      <c r="C833" s="152"/>
      <c r="D833" s="152"/>
      <c r="E833" s="152"/>
      <c r="F833" s="152"/>
      <c r="G833" s="152"/>
      <c r="H833" s="152"/>
      <c r="I833" s="152"/>
      <c r="J833" s="152"/>
      <c r="K833" s="152"/>
      <c r="L833" s="152"/>
      <c r="M833" s="287"/>
      <c r="N833" s="287"/>
      <c r="O833" s="287"/>
      <c r="P833" s="287"/>
      <c r="Q833" s="287"/>
      <c r="R833" s="287"/>
      <c r="S833" s="287"/>
      <c r="T833" s="287"/>
      <c r="U833" s="287"/>
      <c r="V833" s="287"/>
    </row>
    <row r="834" spans="1:22" ht="13.5" customHeight="1" outlineLevel="1">
      <c r="M834" s="217"/>
      <c r="N834" s="217"/>
      <c r="O834" s="217"/>
      <c r="P834" s="217"/>
      <c r="Q834" s="217"/>
      <c r="R834" s="217"/>
      <c r="S834" s="217"/>
      <c r="T834" s="217"/>
      <c r="U834" s="217"/>
      <c r="V834" s="217"/>
    </row>
    <row r="835" spans="1:22" ht="13.5" customHeight="1" outlineLevel="1" thickBot="1">
      <c r="M835" s="217"/>
      <c r="N835" s="217"/>
      <c r="O835" s="217"/>
      <c r="P835" s="217"/>
      <c r="Q835" s="217"/>
      <c r="R835" s="217"/>
      <c r="S835" s="217"/>
      <c r="T835" s="217"/>
      <c r="U835" s="217"/>
      <c r="V835" s="217"/>
    </row>
    <row r="836" spans="1:22" s="35" customFormat="1" ht="20.100000000000001" customHeight="1" thickTop="1">
      <c r="A836" s="41" t="s">
        <v>426</v>
      </c>
      <c r="B836" s="42" t="s">
        <v>718</v>
      </c>
      <c r="C836" s="43"/>
      <c r="D836" s="44"/>
      <c r="E836" s="44"/>
      <c r="F836" s="44"/>
      <c r="G836" s="44"/>
      <c r="H836" s="44"/>
      <c r="I836" s="44"/>
      <c r="J836" s="44"/>
      <c r="K836" s="44"/>
      <c r="L836" s="44"/>
      <c r="M836" s="44"/>
      <c r="N836" s="44"/>
      <c r="O836" s="44"/>
      <c r="P836" s="44"/>
      <c r="Q836" s="44"/>
      <c r="R836" s="44"/>
      <c r="S836" s="44"/>
      <c r="T836" s="44"/>
      <c r="U836" s="44"/>
      <c r="V836" s="44"/>
    </row>
    <row r="837" spans="1:22" s="35" customFormat="1" ht="13.5" customHeight="1" outlineLevel="1">
      <c r="B837" s="45"/>
      <c r="V837" s="155" t="str">
        <f ca="1">err_msg</f>
        <v/>
      </c>
    </row>
    <row r="838" spans="1:22" s="203" customFormat="1" ht="13.5" customHeight="1" outlineLevel="1">
      <c r="F838" s="204"/>
      <c r="G838" s="204"/>
      <c r="H838" s="204"/>
      <c r="I838" s="204"/>
      <c r="L838" s="261"/>
      <c r="M838" s="126" t="str">
        <f>$K$34&amp;" Quarters"</f>
        <v>3 Quarters</v>
      </c>
      <c r="N838" s="205" t="str">
        <f>N$144</f>
        <v>Fiscal Years Ending September 30,</v>
      </c>
      <c r="O838" s="205"/>
      <c r="P838" s="205"/>
      <c r="Q838" s="205"/>
      <c r="R838" s="205"/>
      <c r="S838" s="205"/>
      <c r="T838" s="205"/>
      <c r="U838" s="205"/>
      <c r="V838" s="205"/>
    </row>
    <row r="839" spans="1:22" s="203" customFormat="1" outlineLevel="1">
      <c r="F839" s="265"/>
      <c r="G839" s="265"/>
      <c r="H839" s="265"/>
      <c r="I839" s="265"/>
      <c r="L839" s="109"/>
      <c r="M839" s="109" t="s">
        <v>69</v>
      </c>
      <c r="N839" s="109">
        <f>N$145</f>
        <v>2</v>
      </c>
      <c r="O839" s="109">
        <f t="shared" ref="O839:V839" si="1026">O$145</f>
        <v>3</v>
      </c>
      <c r="P839" s="109">
        <f t="shared" si="1026"/>
        <v>4</v>
      </c>
      <c r="Q839" s="109">
        <f t="shared" si="1026"/>
        <v>5</v>
      </c>
      <c r="R839" s="109">
        <f t="shared" si="1026"/>
        <v>6</v>
      </c>
      <c r="S839" s="109">
        <f t="shared" si="1026"/>
        <v>7</v>
      </c>
      <c r="T839" s="109">
        <f t="shared" si="1026"/>
        <v>8</v>
      </c>
      <c r="U839" s="109">
        <f t="shared" si="1026"/>
        <v>9</v>
      </c>
      <c r="V839" s="109">
        <f t="shared" si="1026"/>
        <v>10</v>
      </c>
    </row>
    <row r="840" spans="1:22" s="203" customFormat="1" ht="13.5" customHeight="1" outlineLevel="1" thickBot="1">
      <c r="B840" s="130" t="s">
        <v>246</v>
      </c>
      <c r="C840" s="208"/>
      <c r="D840" s="208"/>
      <c r="E840" s="208"/>
      <c r="F840" s="266"/>
      <c r="G840" s="266"/>
      <c r="H840" s="266"/>
      <c r="I840" s="266"/>
      <c r="J840" s="208"/>
      <c r="K840" s="208"/>
      <c r="L840" s="209"/>
      <c r="M840" s="209">
        <f>$K$33</f>
        <v>45565</v>
      </c>
      <c r="N840" s="211">
        <f>N$146</f>
        <v>45930</v>
      </c>
      <c r="O840" s="211">
        <f t="shared" ref="O840:V840" si="1027">O$146</f>
        <v>46295</v>
      </c>
      <c r="P840" s="211">
        <f t="shared" si="1027"/>
        <v>46660</v>
      </c>
      <c r="Q840" s="211">
        <f t="shared" si="1027"/>
        <v>47026</v>
      </c>
      <c r="R840" s="211">
        <f t="shared" si="1027"/>
        <v>47391</v>
      </c>
      <c r="S840" s="211">
        <f t="shared" si="1027"/>
        <v>47756</v>
      </c>
      <c r="T840" s="211">
        <f t="shared" si="1027"/>
        <v>48121</v>
      </c>
      <c r="U840" s="211">
        <f t="shared" si="1027"/>
        <v>48487</v>
      </c>
      <c r="V840" s="211">
        <f t="shared" si="1027"/>
        <v>48852</v>
      </c>
    </row>
    <row r="841" spans="1:22" s="35" customFormat="1" ht="5.0999999999999996" customHeight="1" outlineLevel="1">
      <c r="B841" s="289"/>
      <c r="C841" s="289"/>
      <c r="D841" s="289"/>
      <c r="E841" s="289"/>
      <c r="F841" s="289"/>
      <c r="G841" s="289"/>
      <c r="H841" s="289"/>
      <c r="I841" s="289"/>
      <c r="J841" s="289"/>
      <c r="K841" s="289"/>
      <c r="L841" s="290"/>
      <c r="M841" s="290"/>
      <c r="N841" s="291"/>
      <c r="O841" s="291"/>
      <c r="P841" s="291"/>
      <c r="Q841" s="291"/>
      <c r="R841" s="291"/>
      <c r="S841" s="291"/>
      <c r="T841" s="291"/>
      <c r="U841" s="291"/>
      <c r="V841" s="291"/>
    </row>
    <row r="842" spans="1:22" s="35" customFormat="1" ht="13.5" customHeight="1" outlineLevel="1">
      <c r="B842" s="46" t="s">
        <v>566</v>
      </c>
      <c r="C842" s="47"/>
      <c r="D842" s="47"/>
      <c r="E842" s="47"/>
      <c r="F842" s="47"/>
      <c r="G842" s="47"/>
      <c r="H842" s="47"/>
      <c r="I842" s="47"/>
      <c r="J842" s="47"/>
      <c r="K842" s="47"/>
      <c r="L842" s="47"/>
      <c r="M842" s="47"/>
      <c r="N842" s="47"/>
      <c r="O842" s="47"/>
      <c r="P842" s="47"/>
      <c r="Q842" s="47"/>
      <c r="R842" s="47"/>
      <c r="S842" s="47"/>
      <c r="T842" s="47"/>
      <c r="U842" s="47"/>
      <c r="V842" s="48"/>
    </row>
    <row r="843" spans="1:22" ht="5.0999999999999996" customHeight="1" outlineLevel="1"/>
    <row r="844" spans="1:22" s="35" customFormat="1" ht="13.5" customHeight="1" outlineLevel="1">
      <c r="B844" s="38" t="s">
        <v>350</v>
      </c>
      <c r="C844" s="38"/>
      <c r="D844" s="38"/>
      <c r="E844" s="38"/>
      <c r="F844" s="532">
        <v>2.5499999999999998E-2</v>
      </c>
      <c r="G844" s="532">
        <v>2.5499999999999998E-2</v>
      </c>
      <c r="H844" s="532">
        <v>2.5499999999999998E-2</v>
      </c>
      <c r="I844" s="532">
        <v>2.5499999999999998E-2</v>
      </c>
      <c r="J844" s="38"/>
      <c r="K844" s="38"/>
      <c r="L844" s="38"/>
      <c r="M844" s="532">
        <v>2.7799999999999998E-2</v>
      </c>
      <c r="N844" s="532">
        <v>3.2155499999999997E-2</v>
      </c>
      <c r="O844" s="532">
        <v>3.739725E-2</v>
      </c>
      <c r="P844" s="532">
        <v>4.1604000000000002E-2</v>
      </c>
      <c r="Q844" s="532">
        <v>4.5736750000000007E-2</v>
      </c>
      <c r="R844" s="532">
        <v>4.8315000000000004E-2</v>
      </c>
      <c r="S844" s="532">
        <v>4.9805500000000003E-2</v>
      </c>
      <c r="T844" s="532">
        <v>5.1123500000000002E-2</v>
      </c>
      <c r="U844" s="532">
        <v>5.2225250000000001E-2</v>
      </c>
      <c r="V844" s="532">
        <v>5.3100000000000001E-2</v>
      </c>
    </row>
    <row r="845" spans="1:22" s="35" customFormat="1" ht="13.5" customHeight="1" outlineLevel="1">
      <c r="B845" s="38" t="s">
        <v>360</v>
      </c>
      <c r="F845" s="292">
        <f>$M845</f>
        <v>0.01</v>
      </c>
      <c r="G845" s="292">
        <f>$M845</f>
        <v>0.01</v>
      </c>
      <c r="H845" s="292">
        <f>$M845</f>
        <v>0.01</v>
      </c>
      <c r="I845" s="292">
        <f>$M845</f>
        <v>0.01</v>
      </c>
      <c r="L845" s="268"/>
      <c r="M845" s="532">
        <v>0.01</v>
      </c>
      <c r="N845" s="292">
        <f>M845</f>
        <v>0.01</v>
      </c>
      <c r="O845" s="292">
        <f t="shared" ref="O845:V845" si="1028">N845</f>
        <v>0.01</v>
      </c>
      <c r="P845" s="292">
        <f t="shared" si="1028"/>
        <v>0.01</v>
      </c>
      <c r="Q845" s="292">
        <f t="shared" si="1028"/>
        <v>0.01</v>
      </c>
      <c r="R845" s="292">
        <f t="shared" si="1028"/>
        <v>0.01</v>
      </c>
      <c r="S845" s="292">
        <f t="shared" si="1028"/>
        <v>0.01</v>
      </c>
      <c r="T845" s="292">
        <f t="shared" si="1028"/>
        <v>0.01</v>
      </c>
      <c r="U845" s="292">
        <f t="shared" si="1028"/>
        <v>0.01</v>
      </c>
      <c r="V845" s="292">
        <f t="shared" si="1028"/>
        <v>0.01</v>
      </c>
    </row>
    <row r="846" spans="1:22" s="35" customFormat="1" ht="13.5" customHeight="1" outlineLevel="1">
      <c r="B846" s="62" t="s">
        <v>263</v>
      </c>
      <c r="C846" s="38"/>
      <c r="D846" s="38"/>
      <c r="E846" s="38"/>
      <c r="F846" s="38"/>
      <c r="G846" s="38"/>
      <c r="H846" s="38"/>
      <c r="I846" s="38"/>
      <c r="J846" s="38"/>
      <c r="L846" s="293"/>
      <c r="M846" s="532">
        <v>5.0000000000000001E-3</v>
      </c>
      <c r="N846" s="292">
        <f>M846</f>
        <v>5.0000000000000001E-3</v>
      </c>
      <c r="O846" s="292">
        <f t="shared" ref="O846:V846" si="1029">N846</f>
        <v>5.0000000000000001E-3</v>
      </c>
      <c r="P846" s="292">
        <f t="shared" si="1029"/>
        <v>5.0000000000000001E-3</v>
      </c>
      <c r="Q846" s="292">
        <f t="shared" si="1029"/>
        <v>5.0000000000000001E-3</v>
      </c>
      <c r="R846" s="292">
        <f t="shared" si="1029"/>
        <v>5.0000000000000001E-3</v>
      </c>
      <c r="S846" s="292">
        <f t="shared" si="1029"/>
        <v>5.0000000000000001E-3</v>
      </c>
      <c r="T846" s="292">
        <f t="shared" si="1029"/>
        <v>5.0000000000000001E-3</v>
      </c>
      <c r="U846" s="292">
        <f t="shared" si="1029"/>
        <v>5.0000000000000001E-3</v>
      </c>
      <c r="V846" s="292">
        <f t="shared" si="1029"/>
        <v>5.0000000000000001E-3</v>
      </c>
    </row>
    <row r="847" spans="1:22" s="35" customFormat="1" ht="13.5" customHeight="1" outlineLevel="1">
      <c r="B847" s="38"/>
      <c r="L847" s="268"/>
      <c r="M847" s="259"/>
      <c r="N847" s="292"/>
      <c r="O847" s="292"/>
      <c r="P847" s="292"/>
      <c r="Q847" s="292"/>
      <c r="R847" s="292"/>
      <c r="S847" s="292"/>
      <c r="T847" s="292"/>
      <c r="U847" s="292"/>
      <c r="V847" s="292"/>
    </row>
    <row r="848" spans="1:22" s="35" customFormat="1" ht="13.5" customHeight="1" outlineLevel="1">
      <c r="B848" s="38" t="str">
        <f>B$1291</f>
        <v>Legacy debt</v>
      </c>
      <c r="C848" s="38"/>
      <c r="D848" s="38"/>
      <c r="E848" s="38"/>
      <c r="F848" s="292">
        <f>$M1300+(F$844+$N1300)*($M1300=0)</f>
        <v>0.14249999999999999</v>
      </c>
      <c r="G848" s="292">
        <f>$M1300+(G$844+$N1300)*($M1300=0)</f>
        <v>0.14249999999999999</v>
      </c>
      <c r="H848" s="292">
        <f>$M1300+(H$844+$N1300)*($M1300=0)</f>
        <v>0.14249999999999999</v>
      </c>
      <c r="I848" s="292">
        <f>$M1300+(I$844+$N1300)*($M1300=0)</f>
        <v>0.14249999999999999</v>
      </c>
      <c r="J848" s="38"/>
      <c r="L848" s="294"/>
      <c r="M848" s="292">
        <f t="shared" ref="M848:V848" si="1030">$M1300+(M$844+$N1300)*($M1300=0)</f>
        <v>0.14249999999999999</v>
      </c>
      <c r="N848" s="292">
        <f t="shared" si="1030"/>
        <v>0.14249999999999999</v>
      </c>
      <c r="O848" s="292">
        <f t="shared" si="1030"/>
        <v>0.14249999999999999</v>
      </c>
      <c r="P848" s="292">
        <f t="shared" si="1030"/>
        <v>0.14249999999999999</v>
      </c>
      <c r="Q848" s="292">
        <f t="shared" si="1030"/>
        <v>0.14249999999999999</v>
      </c>
      <c r="R848" s="292">
        <f t="shared" si="1030"/>
        <v>0.14249999999999999</v>
      </c>
      <c r="S848" s="292">
        <f t="shared" si="1030"/>
        <v>0.14249999999999999</v>
      </c>
      <c r="T848" s="292">
        <f t="shared" si="1030"/>
        <v>0.14249999999999999</v>
      </c>
      <c r="U848" s="292">
        <f t="shared" si="1030"/>
        <v>0.14249999999999999</v>
      </c>
      <c r="V848" s="292">
        <f t="shared" si="1030"/>
        <v>0.14249999999999999</v>
      </c>
    </row>
    <row r="849" spans="2:22" s="35" customFormat="1" ht="13.5" customHeight="1" outlineLevel="1">
      <c r="B849" s="38" t="str">
        <f>B1301</f>
        <v>Revolver</v>
      </c>
      <c r="C849" s="38"/>
      <c r="D849" s="38"/>
      <c r="E849" s="38"/>
      <c r="F849" s="38"/>
      <c r="G849" s="38"/>
      <c r="H849" s="38"/>
      <c r="I849" s="38"/>
      <c r="J849" s="38"/>
      <c r="L849" s="293"/>
      <c r="M849" s="292">
        <f t="shared" ref="M849:V849" si="1031">$M1301+(M$844+$N1301)*($M1301=0)</f>
        <v>7.0300000000000001E-2</v>
      </c>
      <c r="N849" s="292">
        <f t="shared" si="1031"/>
        <v>7.46555E-2</v>
      </c>
      <c r="O849" s="292">
        <f t="shared" si="1031"/>
        <v>7.9897250000000003E-2</v>
      </c>
      <c r="P849" s="292">
        <f t="shared" si="1031"/>
        <v>8.4104000000000012E-2</v>
      </c>
      <c r="Q849" s="292">
        <f t="shared" si="1031"/>
        <v>8.8236750000000003E-2</v>
      </c>
      <c r="R849" s="292">
        <f t="shared" si="1031"/>
        <v>9.0815000000000007E-2</v>
      </c>
      <c r="S849" s="292">
        <f t="shared" si="1031"/>
        <v>9.2305500000000013E-2</v>
      </c>
      <c r="T849" s="292">
        <f t="shared" si="1031"/>
        <v>9.3623499999999998E-2</v>
      </c>
      <c r="U849" s="292">
        <f t="shared" si="1031"/>
        <v>9.4725250000000011E-2</v>
      </c>
      <c r="V849" s="292">
        <f t="shared" si="1031"/>
        <v>9.5600000000000004E-2</v>
      </c>
    </row>
    <row r="850" spans="2:22" s="35" customFormat="1" ht="13.5" customHeight="1" outlineLevel="1">
      <c r="B850" s="38" t="str">
        <f t="shared" ref="B850:B859" si="1032">B1254</f>
        <v>Term loan - A</v>
      </c>
      <c r="C850" s="38"/>
      <c r="D850" s="38"/>
      <c r="E850" s="38"/>
      <c r="F850" s="38"/>
      <c r="G850" s="38"/>
      <c r="H850" s="38"/>
      <c r="I850" s="38"/>
      <c r="J850" s="38"/>
      <c r="L850" s="293"/>
      <c r="M850" s="292">
        <f t="shared" ref="M850:V850" si="1033">$M1302+(M$844+$N1302)*($M1302=0)</f>
        <v>7.569999999999999E-2</v>
      </c>
      <c r="N850" s="292">
        <f t="shared" si="1033"/>
        <v>8.0055500000000002E-2</v>
      </c>
      <c r="O850" s="292">
        <f t="shared" si="1033"/>
        <v>8.5297249999999991E-2</v>
      </c>
      <c r="P850" s="292">
        <f t="shared" si="1033"/>
        <v>8.9504E-2</v>
      </c>
      <c r="Q850" s="292">
        <f t="shared" si="1033"/>
        <v>9.3636750000000005E-2</v>
      </c>
      <c r="R850" s="292">
        <f t="shared" si="1033"/>
        <v>9.6214999999999995E-2</v>
      </c>
      <c r="S850" s="292">
        <f t="shared" si="1033"/>
        <v>9.7705500000000001E-2</v>
      </c>
      <c r="T850" s="292">
        <f t="shared" si="1033"/>
        <v>9.90235E-2</v>
      </c>
      <c r="U850" s="292">
        <f t="shared" si="1033"/>
        <v>0.10012525</v>
      </c>
      <c r="V850" s="292">
        <f t="shared" si="1033"/>
        <v>0.10100000000000001</v>
      </c>
    </row>
    <row r="851" spans="2:22" s="35" customFormat="1" ht="13.5" customHeight="1" outlineLevel="1">
      <c r="B851" s="38" t="str">
        <f t="shared" si="1032"/>
        <v>Term loan - B</v>
      </c>
      <c r="C851" s="38"/>
      <c r="D851" s="38"/>
      <c r="E851" s="38"/>
      <c r="F851" s="38"/>
      <c r="G851" s="38"/>
      <c r="H851" s="38"/>
      <c r="I851" s="38"/>
      <c r="J851" s="38"/>
      <c r="L851" s="293"/>
      <c r="M851" s="292">
        <f t="shared" ref="M851:V851" si="1034">$M1303+(M$844+$N1303)*($M1303=0)</f>
        <v>8.7799999999999989E-2</v>
      </c>
      <c r="N851" s="292">
        <f t="shared" si="1034"/>
        <v>9.2155500000000001E-2</v>
      </c>
      <c r="O851" s="292">
        <f t="shared" si="1034"/>
        <v>9.7397249999999991E-2</v>
      </c>
      <c r="P851" s="292">
        <f t="shared" si="1034"/>
        <v>0.101604</v>
      </c>
      <c r="Q851" s="292">
        <f t="shared" si="1034"/>
        <v>0.10573675</v>
      </c>
      <c r="R851" s="292">
        <f t="shared" si="1034"/>
        <v>0.10831499999999999</v>
      </c>
      <c r="S851" s="292">
        <f t="shared" si="1034"/>
        <v>0.1098055</v>
      </c>
      <c r="T851" s="292">
        <f t="shared" si="1034"/>
        <v>0.1111235</v>
      </c>
      <c r="U851" s="292">
        <f t="shared" si="1034"/>
        <v>0.11222525</v>
      </c>
      <c r="V851" s="292">
        <f t="shared" si="1034"/>
        <v>0.11310000000000001</v>
      </c>
    </row>
    <row r="852" spans="2:22" s="35" customFormat="1" ht="13.5" customHeight="1" outlineLevel="1">
      <c r="B852" s="38" t="str">
        <f t="shared" si="1032"/>
        <v>Senior note</v>
      </c>
      <c r="C852" s="38"/>
      <c r="D852" s="38"/>
      <c r="E852" s="38"/>
      <c r="F852" s="38"/>
      <c r="G852" s="38"/>
      <c r="H852" s="38"/>
      <c r="I852" s="38"/>
      <c r="J852" s="38"/>
      <c r="L852" s="293"/>
      <c r="M852" s="292">
        <f t="shared" ref="M852:V852" si="1035">$M1304+(M$844+$N1304)*($M1304=0)</f>
        <v>9.2799999999999994E-2</v>
      </c>
      <c r="N852" s="292">
        <f t="shared" si="1035"/>
        <v>9.7155500000000006E-2</v>
      </c>
      <c r="O852" s="292">
        <f t="shared" si="1035"/>
        <v>0.10239725</v>
      </c>
      <c r="P852" s="292">
        <f t="shared" si="1035"/>
        <v>0.106604</v>
      </c>
      <c r="Q852" s="292">
        <f t="shared" si="1035"/>
        <v>0.11073675000000001</v>
      </c>
      <c r="R852" s="292">
        <f t="shared" si="1035"/>
        <v>0.113315</v>
      </c>
      <c r="S852" s="292">
        <f t="shared" si="1035"/>
        <v>0.1148055</v>
      </c>
      <c r="T852" s="292">
        <f t="shared" si="1035"/>
        <v>0.1161235</v>
      </c>
      <c r="U852" s="292">
        <f t="shared" si="1035"/>
        <v>0.11722525</v>
      </c>
      <c r="V852" s="292">
        <f t="shared" si="1035"/>
        <v>0.11810000000000001</v>
      </c>
    </row>
    <row r="853" spans="2:22" s="35" customFormat="1" ht="13.5" customHeight="1" outlineLevel="1">
      <c r="B853" s="38" t="str">
        <f t="shared" si="1032"/>
        <v>Subordinated note</v>
      </c>
      <c r="C853" s="38"/>
      <c r="D853" s="38"/>
      <c r="E853" s="38"/>
      <c r="F853" s="38"/>
      <c r="G853" s="38"/>
      <c r="H853" s="38"/>
      <c r="I853" s="38"/>
      <c r="J853" s="38"/>
      <c r="K853" s="38"/>
      <c r="L853" s="38"/>
      <c r="M853" s="292">
        <f t="shared" ref="M853:V853" si="1036">$M1305+(M$844+$N1305)*($M1305=0)</f>
        <v>0.10249999999999999</v>
      </c>
      <c r="N853" s="292">
        <f t="shared" si="1036"/>
        <v>0.10249999999999999</v>
      </c>
      <c r="O853" s="292">
        <f t="shared" si="1036"/>
        <v>0.10249999999999999</v>
      </c>
      <c r="P853" s="292">
        <f t="shared" si="1036"/>
        <v>0.10249999999999999</v>
      </c>
      <c r="Q853" s="292">
        <f t="shared" si="1036"/>
        <v>0.10249999999999999</v>
      </c>
      <c r="R853" s="292">
        <f t="shared" si="1036"/>
        <v>0.10249999999999999</v>
      </c>
      <c r="S853" s="292">
        <f t="shared" si="1036"/>
        <v>0.10249999999999999</v>
      </c>
      <c r="T853" s="292">
        <f t="shared" si="1036"/>
        <v>0.10249999999999999</v>
      </c>
      <c r="U853" s="292">
        <f t="shared" si="1036"/>
        <v>0.10249999999999999</v>
      </c>
      <c r="V853" s="292">
        <f t="shared" si="1036"/>
        <v>0.10249999999999999</v>
      </c>
    </row>
    <row r="854" spans="2:22" s="35" customFormat="1" ht="13.5" customHeight="1" outlineLevel="1">
      <c r="B854" s="38" t="str">
        <f t="shared" si="1032"/>
        <v>Mezzanine</v>
      </c>
      <c r="C854" s="38"/>
      <c r="D854" s="38"/>
      <c r="E854" s="38"/>
      <c r="F854" s="38"/>
      <c r="G854" s="38"/>
      <c r="H854" s="38"/>
      <c r="I854" s="38"/>
      <c r="J854" s="38"/>
      <c r="K854" s="38"/>
      <c r="L854" s="38"/>
      <c r="M854" s="292">
        <f t="shared" ref="M854:V854" si="1037">$M1306+(M$844+$N1306)*($M1306=0)</f>
        <v>0.105</v>
      </c>
      <c r="N854" s="292">
        <f t="shared" si="1037"/>
        <v>0.105</v>
      </c>
      <c r="O854" s="292">
        <f t="shared" si="1037"/>
        <v>0.105</v>
      </c>
      <c r="P854" s="292">
        <f t="shared" si="1037"/>
        <v>0.105</v>
      </c>
      <c r="Q854" s="292">
        <f t="shared" si="1037"/>
        <v>0.105</v>
      </c>
      <c r="R854" s="292">
        <f t="shared" si="1037"/>
        <v>0.105</v>
      </c>
      <c r="S854" s="292">
        <f t="shared" si="1037"/>
        <v>0.105</v>
      </c>
      <c r="T854" s="292">
        <f t="shared" si="1037"/>
        <v>0.105</v>
      </c>
      <c r="U854" s="292">
        <f t="shared" si="1037"/>
        <v>0.105</v>
      </c>
      <c r="V854" s="292">
        <f t="shared" si="1037"/>
        <v>0.105</v>
      </c>
    </row>
    <row r="855" spans="2:22" s="35" customFormat="1" ht="13.5" customHeight="1" outlineLevel="1">
      <c r="B855" s="38" t="str">
        <f t="shared" si="1032"/>
        <v>Seller note</v>
      </c>
      <c r="C855" s="38"/>
      <c r="D855" s="38"/>
      <c r="E855" s="38"/>
      <c r="F855" s="38"/>
      <c r="G855" s="38"/>
      <c r="H855" s="38"/>
      <c r="I855" s="38"/>
      <c r="J855" s="38"/>
      <c r="K855" s="38"/>
      <c r="L855" s="38"/>
      <c r="M855" s="292">
        <f t="shared" ref="M855:V855" si="1038">$M1307+(M$844+$N1307)*($M1307=0)</f>
        <v>0.105</v>
      </c>
      <c r="N855" s="292">
        <f t="shared" si="1038"/>
        <v>0.105</v>
      </c>
      <c r="O855" s="292">
        <f t="shared" si="1038"/>
        <v>0.105</v>
      </c>
      <c r="P855" s="292">
        <f t="shared" si="1038"/>
        <v>0.105</v>
      </c>
      <c r="Q855" s="292">
        <f t="shared" si="1038"/>
        <v>0.105</v>
      </c>
      <c r="R855" s="292">
        <f t="shared" si="1038"/>
        <v>0.105</v>
      </c>
      <c r="S855" s="292">
        <f t="shared" si="1038"/>
        <v>0.105</v>
      </c>
      <c r="T855" s="292">
        <f t="shared" si="1038"/>
        <v>0.105</v>
      </c>
      <c r="U855" s="292">
        <f t="shared" si="1038"/>
        <v>0.105</v>
      </c>
      <c r="V855" s="292">
        <f t="shared" si="1038"/>
        <v>0.105</v>
      </c>
    </row>
    <row r="856" spans="2:22" s="35" customFormat="1" ht="13.5" customHeight="1" outlineLevel="1">
      <c r="B856" s="38" t="str">
        <f t="shared" si="1032"/>
        <v>Convertible bond</v>
      </c>
      <c r="C856" s="38"/>
      <c r="D856" s="38"/>
      <c r="E856" s="38"/>
      <c r="F856" s="38"/>
      <c r="G856" s="38"/>
      <c r="H856" s="38"/>
      <c r="I856" s="38"/>
      <c r="J856" s="38"/>
      <c r="K856" s="38"/>
      <c r="L856" s="38"/>
      <c r="M856" s="292">
        <f t="shared" ref="M856:V856" si="1039">$M1308+(M$844+$N1308)*($M1308=0)</f>
        <v>0.11</v>
      </c>
      <c r="N856" s="292">
        <f t="shared" si="1039"/>
        <v>0.11</v>
      </c>
      <c r="O856" s="292">
        <f t="shared" si="1039"/>
        <v>0.11</v>
      </c>
      <c r="P856" s="292">
        <f t="shared" si="1039"/>
        <v>0.11</v>
      </c>
      <c r="Q856" s="292">
        <f t="shared" si="1039"/>
        <v>0.11</v>
      </c>
      <c r="R856" s="292">
        <f t="shared" si="1039"/>
        <v>0.11</v>
      </c>
      <c r="S856" s="292">
        <f t="shared" si="1039"/>
        <v>0.11</v>
      </c>
      <c r="T856" s="292">
        <f t="shared" si="1039"/>
        <v>0.11</v>
      </c>
      <c r="U856" s="292">
        <f t="shared" si="1039"/>
        <v>0.11</v>
      </c>
      <c r="V856" s="292">
        <f t="shared" si="1039"/>
        <v>0.11</v>
      </c>
    </row>
    <row r="857" spans="2:22" s="35" customFormat="1" ht="13.5" customHeight="1" outlineLevel="1">
      <c r="B857" s="38" t="str">
        <f t="shared" si="1032"/>
        <v>[Debt 8]</v>
      </c>
      <c r="C857" s="38"/>
      <c r="D857" s="38"/>
      <c r="E857" s="38"/>
      <c r="F857" s="38"/>
      <c r="G857" s="38"/>
      <c r="H857" s="38"/>
      <c r="I857" s="38"/>
      <c r="J857" s="38"/>
      <c r="K857" s="38"/>
      <c r="L857" s="38"/>
      <c r="M857" s="292">
        <f t="shared" ref="M857:V857" si="1040">$M1309+(M$844+$N1309)*($M1309=0)</f>
        <v>2.7799999999999998E-2</v>
      </c>
      <c r="N857" s="292">
        <f t="shared" si="1040"/>
        <v>3.2155499999999997E-2</v>
      </c>
      <c r="O857" s="292">
        <f t="shared" si="1040"/>
        <v>3.739725E-2</v>
      </c>
      <c r="P857" s="292">
        <f t="shared" si="1040"/>
        <v>4.1604000000000002E-2</v>
      </c>
      <c r="Q857" s="292">
        <f t="shared" si="1040"/>
        <v>4.5736750000000007E-2</v>
      </c>
      <c r="R857" s="292">
        <f t="shared" si="1040"/>
        <v>4.8315000000000004E-2</v>
      </c>
      <c r="S857" s="292">
        <f t="shared" si="1040"/>
        <v>4.9805500000000003E-2</v>
      </c>
      <c r="T857" s="292">
        <f t="shared" si="1040"/>
        <v>5.1123500000000002E-2</v>
      </c>
      <c r="U857" s="292">
        <f t="shared" si="1040"/>
        <v>5.2225250000000001E-2</v>
      </c>
      <c r="V857" s="292">
        <f t="shared" si="1040"/>
        <v>5.3100000000000001E-2</v>
      </c>
    </row>
    <row r="858" spans="2:22" s="35" customFormat="1" ht="13.5" customHeight="1" outlineLevel="1">
      <c r="B858" s="38" t="str">
        <f t="shared" si="1032"/>
        <v>Preferred stock - A</v>
      </c>
      <c r="C858" s="38"/>
      <c r="D858" s="38"/>
      <c r="E858" s="38"/>
      <c r="F858" s="38"/>
      <c r="G858" s="38"/>
      <c r="H858" s="38"/>
      <c r="I858" s="295"/>
      <c r="J858" s="38"/>
      <c r="K858" s="38"/>
      <c r="L858" s="38"/>
      <c r="M858" s="292">
        <f t="shared" ref="M858:V858" si="1041">$M1310+(M$844+$N1310)*($M1310=0)</f>
        <v>0.12</v>
      </c>
      <c r="N858" s="292">
        <f t="shared" si="1041"/>
        <v>0.12</v>
      </c>
      <c r="O858" s="292">
        <f t="shared" si="1041"/>
        <v>0.12</v>
      </c>
      <c r="P858" s="292">
        <f t="shared" si="1041"/>
        <v>0.12</v>
      </c>
      <c r="Q858" s="292">
        <f t="shared" si="1041"/>
        <v>0.12</v>
      </c>
      <c r="R858" s="292">
        <f t="shared" si="1041"/>
        <v>0.12</v>
      </c>
      <c r="S858" s="292">
        <f t="shared" si="1041"/>
        <v>0.12</v>
      </c>
      <c r="T858" s="292">
        <f t="shared" si="1041"/>
        <v>0.12</v>
      </c>
      <c r="U858" s="292">
        <f t="shared" si="1041"/>
        <v>0.12</v>
      </c>
      <c r="V858" s="292">
        <f t="shared" si="1041"/>
        <v>0.12</v>
      </c>
    </row>
    <row r="859" spans="2:22" s="35" customFormat="1" ht="13.5" customHeight="1" outlineLevel="1">
      <c r="B859" s="38" t="str">
        <f t="shared" si="1032"/>
        <v>Preferred stock - B</v>
      </c>
      <c r="C859" s="38"/>
      <c r="D859" s="38"/>
      <c r="E859" s="38"/>
      <c r="F859" s="38"/>
      <c r="G859" s="38"/>
      <c r="H859" s="38"/>
      <c r="I859" s="295"/>
      <c r="J859" s="38"/>
      <c r="K859" s="38"/>
      <c r="L859" s="38"/>
      <c r="M859" s="292">
        <f t="shared" ref="M859:V859" si="1042">$M1311+(M$844+$N1311)*($M1311=0)</f>
        <v>0.125</v>
      </c>
      <c r="N859" s="292">
        <f t="shared" si="1042"/>
        <v>0.125</v>
      </c>
      <c r="O859" s="292">
        <f t="shared" si="1042"/>
        <v>0.125</v>
      </c>
      <c r="P859" s="292">
        <f t="shared" si="1042"/>
        <v>0.125</v>
      </c>
      <c r="Q859" s="292">
        <f t="shared" si="1042"/>
        <v>0.125</v>
      </c>
      <c r="R859" s="292">
        <f t="shared" si="1042"/>
        <v>0.125</v>
      </c>
      <c r="S859" s="292">
        <f t="shared" si="1042"/>
        <v>0.125</v>
      </c>
      <c r="T859" s="292">
        <f t="shared" si="1042"/>
        <v>0.125</v>
      </c>
      <c r="U859" s="292">
        <f t="shared" si="1042"/>
        <v>0.125</v>
      </c>
      <c r="V859" s="292">
        <f t="shared" si="1042"/>
        <v>0.125</v>
      </c>
    </row>
    <row r="860" spans="2:22" s="35" customFormat="1" ht="13.5" customHeight="1" outlineLevel="1">
      <c r="B860" s="289"/>
      <c r="C860" s="289"/>
      <c r="D860" s="289"/>
      <c r="E860" s="289"/>
      <c r="F860" s="289"/>
      <c r="G860" s="289"/>
      <c r="H860" s="289"/>
      <c r="I860" s="289"/>
      <c r="J860" s="289"/>
      <c r="K860" s="289"/>
      <c r="L860" s="290"/>
      <c r="M860" s="290"/>
      <c r="N860" s="291"/>
      <c r="O860" s="291"/>
      <c r="P860" s="291"/>
      <c r="Q860" s="291"/>
      <c r="R860" s="291"/>
      <c r="S860" s="291"/>
      <c r="T860" s="291"/>
      <c r="U860" s="291"/>
      <c r="V860" s="291"/>
    </row>
    <row r="861" spans="2:22" s="35" customFormat="1" ht="13.5" customHeight="1" outlineLevel="1">
      <c r="B861" s="46" t="s">
        <v>630</v>
      </c>
      <c r="C861" s="47"/>
      <c r="D861" s="47"/>
      <c r="E861" s="47"/>
      <c r="F861" s="47"/>
      <c r="G861" s="47"/>
      <c r="H861" s="47"/>
      <c r="I861" s="47"/>
      <c r="J861" s="47"/>
      <c r="K861" s="47"/>
      <c r="L861" s="47"/>
      <c r="M861" s="47"/>
      <c r="N861" s="47"/>
      <c r="O861" s="47"/>
      <c r="P861" s="47"/>
      <c r="Q861" s="47"/>
      <c r="R861" s="47"/>
      <c r="S861" s="47"/>
      <c r="T861" s="47"/>
      <c r="U861" s="47"/>
      <c r="V861" s="48"/>
    </row>
    <row r="862" spans="2:22" s="35" customFormat="1" ht="5.0999999999999996" customHeight="1" outlineLevel="1"/>
    <row r="863" spans="2:22" s="35" customFormat="1" ht="13.5" customHeight="1" outlineLevel="1">
      <c r="B863" s="38" t="str">
        <f t="shared" ref="B863:B872" si="1043">B1254</f>
        <v>Term loan - A</v>
      </c>
      <c r="C863" s="38"/>
      <c r="E863" s="38"/>
      <c r="F863" s="38"/>
      <c r="G863" s="38"/>
      <c r="H863" s="38"/>
      <c r="I863" s="38"/>
      <c r="J863" s="38"/>
      <c r="K863" s="38"/>
      <c r="M863" s="528">
        <v>0</v>
      </c>
      <c r="N863" s="528">
        <v>0</v>
      </c>
      <c r="O863" s="528">
        <v>0</v>
      </c>
      <c r="P863" s="528">
        <v>0</v>
      </c>
      <c r="Q863" s="528">
        <v>0</v>
      </c>
      <c r="R863" s="528">
        <v>0</v>
      </c>
      <c r="S863" s="528">
        <v>0</v>
      </c>
      <c r="T863" s="528">
        <v>0</v>
      </c>
      <c r="U863" s="528">
        <v>0</v>
      </c>
      <c r="V863" s="528">
        <v>0</v>
      </c>
    </row>
    <row r="864" spans="2:22" s="35" customFormat="1" ht="13.5" customHeight="1" outlineLevel="1">
      <c r="B864" s="38" t="str">
        <f t="shared" si="1043"/>
        <v>Term loan - B</v>
      </c>
      <c r="C864" s="38"/>
      <c r="E864" s="38"/>
      <c r="F864" s="38"/>
      <c r="G864" s="38"/>
      <c r="H864" s="38"/>
      <c r="I864" s="38"/>
      <c r="J864" s="38"/>
      <c r="K864" s="38"/>
      <c r="M864" s="528">
        <v>0</v>
      </c>
      <c r="N864" s="528">
        <v>0</v>
      </c>
      <c r="O864" s="528">
        <v>0</v>
      </c>
      <c r="P864" s="528">
        <v>0</v>
      </c>
      <c r="Q864" s="528">
        <v>0</v>
      </c>
      <c r="R864" s="528">
        <v>0</v>
      </c>
      <c r="S864" s="528">
        <v>0</v>
      </c>
      <c r="T864" s="528">
        <v>0</v>
      </c>
      <c r="U864" s="528">
        <v>0</v>
      </c>
      <c r="V864" s="528">
        <v>0</v>
      </c>
    </row>
    <row r="865" spans="2:22" s="35" customFormat="1" ht="13.5" customHeight="1" outlineLevel="1">
      <c r="B865" s="38" t="str">
        <f t="shared" si="1043"/>
        <v>Senior note</v>
      </c>
      <c r="C865" s="38"/>
      <c r="E865" s="38"/>
      <c r="F865" s="38"/>
      <c r="G865" s="38"/>
      <c r="H865" s="38"/>
      <c r="I865" s="38"/>
      <c r="J865" s="38"/>
      <c r="K865" s="38"/>
      <c r="M865" s="528">
        <v>0</v>
      </c>
      <c r="N865" s="528">
        <v>0</v>
      </c>
      <c r="O865" s="528">
        <v>0</v>
      </c>
      <c r="P865" s="528">
        <v>0</v>
      </c>
      <c r="Q865" s="528">
        <v>0</v>
      </c>
      <c r="R865" s="528">
        <v>0</v>
      </c>
      <c r="S865" s="528">
        <v>0</v>
      </c>
      <c r="T865" s="528">
        <v>0</v>
      </c>
      <c r="U865" s="528">
        <v>0</v>
      </c>
      <c r="V865" s="528">
        <v>0</v>
      </c>
    </row>
    <row r="866" spans="2:22" s="35" customFormat="1" ht="13.5" customHeight="1" outlineLevel="1">
      <c r="B866" s="38" t="str">
        <f t="shared" si="1043"/>
        <v>Subordinated note</v>
      </c>
      <c r="C866" s="38"/>
      <c r="E866" s="38"/>
      <c r="F866" s="38"/>
      <c r="G866" s="38"/>
      <c r="H866" s="38"/>
      <c r="I866" s="38"/>
      <c r="J866" s="38"/>
      <c r="K866" s="38"/>
      <c r="M866" s="528">
        <v>0</v>
      </c>
      <c r="N866" s="528">
        <v>0</v>
      </c>
      <c r="O866" s="528">
        <v>0</v>
      </c>
      <c r="P866" s="528">
        <v>0</v>
      </c>
      <c r="Q866" s="528">
        <v>0</v>
      </c>
      <c r="R866" s="528">
        <v>0</v>
      </c>
      <c r="S866" s="528">
        <v>0</v>
      </c>
      <c r="T866" s="528">
        <v>0</v>
      </c>
      <c r="U866" s="528">
        <v>0</v>
      </c>
      <c r="V866" s="528">
        <v>0</v>
      </c>
    </row>
    <row r="867" spans="2:22" s="35" customFormat="1" ht="13.5" customHeight="1" outlineLevel="1">
      <c r="B867" s="38" t="str">
        <f t="shared" si="1043"/>
        <v>Mezzanine</v>
      </c>
      <c r="C867" s="38"/>
      <c r="E867" s="38"/>
      <c r="F867" s="38"/>
      <c r="G867" s="38"/>
      <c r="H867" s="38"/>
      <c r="I867" s="38"/>
      <c r="J867" s="38"/>
      <c r="K867" s="38"/>
      <c r="M867" s="528">
        <v>0</v>
      </c>
      <c r="N867" s="528">
        <v>0</v>
      </c>
      <c r="O867" s="528">
        <v>0</v>
      </c>
      <c r="P867" s="528">
        <v>0</v>
      </c>
      <c r="Q867" s="528">
        <v>0</v>
      </c>
      <c r="R867" s="528">
        <v>0</v>
      </c>
      <c r="S867" s="528">
        <v>0</v>
      </c>
      <c r="T867" s="528">
        <v>0</v>
      </c>
      <c r="U867" s="528">
        <v>0</v>
      </c>
      <c r="V867" s="528">
        <v>0</v>
      </c>
    </row>
    <row r="868" spans="2:22" s="35" customFormat="1" ht="13.5" customHeight="1" outlineLevel="1">
      <c r="B868" s="38" t="str">
        <f t="shared" si="1043"/>
        <v>Seller note</v>
      </c>
      <c r="C868" s="38"/>
      <c r="E868" s="38"/>
      <c r="F868" s="38"/>
      <c r="G868" s="38"/>
      <c r="H868" s="38"/>
      <c r="I868" s="38"/>
      <c r="J868" s="38"/>
      <c r="K868" s="38"/>
      <c r="M868" s="528">
        <v>1</v>
      </c>
      <c r="N868" s="528">
        <v>1</v>
      </c>
      <c r="O868" s="528">
        <v>0.25</v>
      </c>
      <c r="P868" s="528">
        <v>0</v>
      </c>
      <c r="Q868" s="528">
        <v>0</v>
      </c>
      <c r="R868" s="528">
        <v>0</v>
      </c>
      <c r="S868" s="528">
        <v>0</v>
      </c>
      <c r="T868" s="528">
        <v>0</v>
      </c>
      <c r="U868" s="528">
        <v>0</v>
      </c>
      <c r="V868" s="528">
        <v>0</v>
      </c>
    </row>
    <row r="869" spans="2:22" s="35" customFormat="1" ht="13.5" customHeight="1" outlineLevel="1">
      <c r="B869" s="38" t="str">
        <f t="shared" si="1043"/>
        <v>Convertible bond</v>
      </c>
      <c r="C869" s="38"/>
      <c r="E869" s="38"/>
      <c r="F869" s="38"/>
      <c r="G869" s="38"/>
      <c r="H869" s="38"/>
      <c r="I869" s="38"/>
      <c r="J869" s="38"/>
      <c r="K869" s="38"/>
      <c r="M869" s="528">
        <v>1</v>
      </c>
      <c r="N869" s="528">
        <v>1</v>
      </c>
      <c r="O869" s="528">
        <v>1</v>
      </c>
      <c r="P869" s="528">
        <v>0.25</v>
      </c>
      <c r="Q869" s="528">
        <v>0</v>
      </c>
      <c r="R869" s="528">
        <v>0</v>
      </c>
      <c r="S869" s="528">
        <v>0</v>
      </c>
      <c r="T869" s="528">
        <v>0</v>
      </c>
      <c r="U869" s="528">
        <v>0</v>
      </c>
      <c r="V869" s="528">
        <v>0</v>
      </c>
    </row>
    <row r="870" spans="2:22" s="35" customFormat="1" ht="13.5" customHeight="1" outlineLevel="1">
      <c r="B870" s="38" t="str">
        <f t="shared" si="1043"/>
        <v>[Debt 8]</v>
      </c>
      <c r="C870" s="38"/>
      <c r="E870" s="38"/>
      <c r="F870" s="38"/>
      <c r="G870" s="38"/>
      <c r="H870" s="38"/>
      <c r="I870" s="38"/>
      <c r="J870" s="38"/>
      <c r="K870" s="38"/>
      <c r="M870" s="528">
        <v>0</v>
      </c>
      <c r="N870" s="528">
        <v>0</v>
      </c>
      <c r="O870" s="528">
        <v>0</v>
      </c>
      <c r="P870" s="528">
        <v>0</v>
      </c>
      <c r="Q870" s="528">
        <v>0</v>
      </c>
      <c r="R870" s="528">
        <v>0</v>
      </c>
      <c r="S870" s="528">
        <v>0</v>
      </c>
      <c r="T870" s="528">
        <v>0</v>
      </c>
      <c r="U870" s="528">
        <v>0</v>
      </c>
      <c r="V870" s="528">
        <v>0</v>
      </c>
    </row>
    <row r="871" spans="2:22" s="35" customFormat="1" ht="13.5" customHeight="1" outlineLevel="1">
      <c r="B871" s="38" t="str">
        <f t="shared" si="1043"/>
        <v>Preferred stock - A</v>
      </c>
      <c r="C871" s="38"/>
      <c r="E871" s="38"/>
      <c r="F871" s="38"/>
      <c r="G871" s="38"/>
      <c r="H871" s="38"/>
      <c r="I871" s="38"/>
      <c r="J871" s="38"/>
      <c r="K871" s="38"/>
      <c r="M871" s="528">
        <v>1</v>
      </c>
      <c r="N871" s="528">
        <v>1</v>
      </c>
      <c r="O871" s="528">
        <v>1</v>
      </c>
      <c r="P871" s="528">
        <v>0.25</v>
      </c>
      <c r="Q871" s="528">
        <v>0</v>
      </c>
      <c r="R871" s="528">
        <v>0</v>
      </c>
      <c r="S871" s="528">
        <v>0</v>
      </c>
      <c r="T871" s="528">
        <v>0</v>
      </c>
      <c r="U871" s="528">
        <v>0</v>
      </c>
      <c r="V871" s="528">
        <v>0</v>
      </c>
    </row>
    <row r="872" spans="2:22" s="35" customFormat="1" ht="13.5" customHeight="1" outlineLevel="1">
      <c r="B872" s="38" t="str">
        <f t="shared" si="1043"/>
        <v>Preferred stock - B</v>
      </c>
      <c r="C872" s="38"/>
      <c r="E872" s="38"/>
      <c r="F872" s="38"/>
      <c r="G872" s="38"/>
      <c r="H872" s="38"/>
      <c r="I872" s="38"/>
      <c r="J872" s="38"/>
      <c r="K872" s="38"/>
      <c r="M872" s="528">
        <v>0</v>
      </c>
      <c r="N872" s="528">
        <v>0</v>
      </c>
      <c r="O872" s="528">
        <v>0</v>
      </c>
      <c r="P872" s="528">
        <v>0</v>
      </c>
      <c r="Q872" s="528">
        <v>0</v>
      </c>
      <c r="R872" s="528">
        <v>0</v>
      </c>
      <c r="S872" s="528">
        <v>0</v>
      </c>
      <c r="T872" s="528">
        <v>0</v>
      </c>
      <c r="U872" s="528">
        <v>0</v>
      </c>
      <c r="V872" s="528">
        <v>0</v>
      </c>
    </row>
    <row r="873" spans="2:22" s="35" customFormat="1" ht="13.5" customHeight="1" outlineLevel="1">
      <c r="B873" s="289"/>
      <c r="C873" s="289"/>
      <c r="D873" s="289"/>
      <c r="E873" s="289"/>
      <c r="F873" s="289"/>
      <c r="G873" s="289"/>
      <c r="H873" s="289"/>
      <c r="I873" s="289"/>
      <c r="J873" s="289"/>
      <c r="K873" s="289"/>
      <c r="L873" s="290"/>
      <c r="M873" s="290"/>
      <c r="N873" s="291"/>
      <c r="O873" s="291"/>
      <c r="P873" s="291"/>
      <c r="Q873" s="291"/>
      <c r="R873" s="291"/>
      <c r="S873" s="291"/>
      <c r="T873" s="291"/>
      <c r="U873" s="291"/>
      <c r="V873" s="291"/>
    </row>
    <row r="874" spans="2:22" s="35" customFormat="1" ht="13.5" customHeight="1" outlineLevel="1">
      <c r="B874" s="46" t="s">
        <v>717</v>
      </c>
      <c r="C874" s="47"/>
      <c r="D874" s="47"/>
      <c r="E874" s="47"/>
      <c r="F874" s="47"/>
      <c r="G874" s="47"/>
      <c r="H874" s="47"/>
      <c r="I874" s="47"/>
      <c r="J874" s="47"/>
      <c r="K874" s="47"/>
      <c r="L874" s="47"/>
      <c r="M874" s="47"/>
      <c r="N874" s="47"/>
      <c r="O874" s="47"/>
      <c r="P874" s="47"/>
      <c r="Q874" s="47"/>
      <c r="R874" s="47"/>
      <c r="S874" s="47"/>
      <c r="T874" s="47"/>
      <c r="U874" s="47"/>
      <c r="V874" s="48"/>
    </row>
    <row r="875" spans="2:22" ht="5.0999999999999996" customHeight="1" outlineLevel="1">
      <c r="M875" s="148"/>
      <c r="N875" s="148"/>
      <c r="O875" s="148"/>
      <c r="P875" s="148"/>
      <c r="Q875" s="148"/>
      <c r="R875" s="148"/>
      <c r="S875" s="148"/>
      <c r="T875" s="148"/>
      <c r="U875" s="148"/>
      <c r="V875" s="148"/>
    </row>
    <row r="876" spans="2:22" s="35" customFormat="1" ht="13.5" customHeight="1" outlineLevel="1">
      <c r="B876" s="38" t="s">
        <v>541</v>
      </c>
      <c r="C876" s="38"/>
      <c r="D876" s="38"/>
      <c r="E876" s="38"/>
      <c r="F876" s="68">
        <f>F845*IF(avg_int,AVERAGE(E247:F247),E247)*F$148</f>
        <v>0.36651499999999998</v>
      </c>
      <c r="G876" s="68">
        <f ca="1">G845*IF(avg_int,AVERAGE(F247:G247),F247)*G$148</f>
        <v>0.39626812276423795</v>
      </c>
      <c r="H876" s="68">
        <f ca="1">H845*IF(avg_int,AVERAGE(G247:H247),G247)*H$148</f>
        <v>0.42415816156328967</v>
      </c>
      <c r="I876" s="68">
        <f ca="1">I845*IF(avg_int,AVERAGE(H247:I247),H247)*I$148</f>
        <v>0.45547085867911746</v>
      </c>
      <c r="J876" s="38"/>
      <c r="K876" s="38"/>
      <c r="L876" s="38"/>
      <c r="M876" s="68">
        <f t="shared" ref="M876:V876" ca="1" si="1044">M845*IF(avg_int,AVERAGE(L247:M247),L247)*M$148</f>
        <v>0.75</v>
      </c>
      <c r="N876" s="68">
        <f t="shared" ca="1" si="1044"/>
        <v>1.1085264471836909</v>
      </c>
      <c r="O876" s="68">
        <f t="shared" ca="1" si="1044"/>
        <v>2.0601953730340541</v>
      </c>
      <c r="P876" s="68">
        <f t="shared" ca="1" si="1044"/>
        <v>3.0569100303217533</v>
      </c>
      <c r="Q876" s="68">
        <f t="shared" ca="1" si="1044"/>
        <v>4.0598651969505575</v>
      </c>
      <c r="R876" s="68">
        <f t="shared" ca="1" si="1044"/>
        <v>5.0639392440259989</v>
      </c>
      <c r="S876" s="68">
        <f t="shared" ca="1" si="1044"/>
        <v>5.5211042502983627</v>
      </c>
      <c r="T876" s="68">
        <f t="shared" ca="1" si="1044"/>
        <v>6.501840615496743</v>
      </c>
      <c r="U876" s="68">
        <f t="shared" ca="1" si="1044"/>
        <v>6.4899472750485598</v>
      </c>
      <c r="V876" s="68">
        <f t="shared" ca="1" si="1044"/>
        <v>7.5591255677183016</v>
      </c>
    </row>
    <row r="877" spans="2:22" ht="13.5" customHeight="1" outlineLevel="1">
      <c r="M877" s="148"/>
      <c r="N877" s="148"/>
      <c r="O877" s="148"/>
      <c r="P877" s="148"/>
      <c r="Q877" s="148"/>
      <c r="R877" s="148"/>
      <c r="S877" s="148"/>
      <c r="T877" s="148"/>
      <c r="U877" s="148"/>
      <c r="V877" s="148"/>
    </row>
    <row r="878" spans="2:22" s="35" customFormat="1" ht="13.5" customHeight="1" outlineLevel="1">
      <c r="B878" s="38" t="str">
        <f>B$1291</f>
        <v>Legacy debt</v>
      </c>
      <c r="C878" s="38"/>
      <c r="D878" s="38"/>
      <c r="E878" s="296">
        <f>E162</f>
        <v>8.1999999999999993</v>
      </c>
      <c r="F878" s="136">
        <f>F536</f>
        <v>8.1937499999999996</v>
      </c>
      <c r="G878" s="136">
        <f t="shared" ref="G878:I878" si="1045">G536</f>
        <v>8.1937499999999996</v>
      </c>
      <c r="H878" s="136">
        <f t="shared" si="1045"/>
        <v>8.1937499999999996</v>
      </c>
      <c r="I878" s="136">
        <f t="shared" si="1045"/>
        <v>8.1937499999999996</v>
      </c>
      <c r="J878" s="38"/>
      <c r="K878" s="38"/>
      <c r="L878" s="38"/>
      <c r="M878" s="136">
        <f ca="1">M536</f>
        <v>0</v>
      </c>
      <c r="N878" s="136">
        <f t="shared" ref="N878:V878" ca="1" si="1046">N536</f>
        <v>0</v>
      </c>
      <c r="O878" s="136">
        <f t="shared" ca="1" si="1046"/>
        <v>0</v>
      </c>
      <c r="P878" s="136">
        <f t="shared" ca="1" si="1046"/>
        <v>0</v>
      </c>
      <c r="Q878" s="136">
        <f t="shared" ca="1" si="1046"/>
        <v>0</v>
      </c>
      <c r="R878" s="136">
        <f t="shared" ca="1" si="1046"/>
        <v>0</v>
      </c>
      <c r="S878" s="136">
        <f t="shared" ca="1" si="1046"/>
        <v>0</v>
      </c>
      <c r="T878" s="136">
        <f t="shared" ca="1" si="1046"/>
        <v>0</v>
      </c>
      <c r="U878" s="136">
        <f t="shared" ca="1" si="1046"/>
        <v>0</v>
      </c>
      <c r="V878" s="136">
        <f t="shared" ca="1" si="1046"/>
        <v>0</v>
      </c>
    </row>
    <row r="879" spans="2:22" s="35" customFormat="1" ht="13.5" customHeight="1" outlineLevel="1">
      <c r="B879" s="62" t="s">
        <v>26</v>
      </c>
      <c r="C879" s="38"/>
      <c r="D879" s="38"/>
      <c r="E879" s="38"/>
      <c r="F879" s="519">
        <v>0</v>
      </c>
      <c r="G879" s="519">
        <v>0</v>
      </c>
      <c r="H879" s="519">
        <v>0</v>
      </c>
      <c r="I879" s="519">
        <v>0</v>
      </c>
      <c r="J879" s="38"/>
      <c r="K879" s="38"/>
      <c r="L879" s="38"/>
      <c r="M879" s="137">
        <f>M507</f>
        <v>0.375</v>
      </c>
      <c r="N879" s="137">
        <f t="shared" ref="N879:V879" ca="1" si="1047">N507</f>
        <v>0.5</v>
      </c>
      <c r="O879" s="137">
        <f t="shared" ca="1" si="1047"/>
        <v>0.5</v>
      </c>
      <c r="P879" s="137">
        <f t="shared" ca="1" si="1047"/>
        <v>0.5</v>
      </c>
      <c r="Q879" s="137">
        <f t="shared" ca="1" si="1047"/>
        <v>0.5</v>
      </c>
      <c r="R879" s="137">
        <f t="shared" ca="1" si="1047"/>
        <v>0.5</v>
      </c>
      <c r="S879" s="137">
        <f t="shared" ca="1" si="1047"/>
        <v>0.5</v>
      </c>
      <c r="T879" s="137">
        <f t="shared" ca="1" si="1047"/>
        <v>0.5</v>
      </c>
      <c r="U879" s="137">
        <f t="shared" ca="1" si="1047"/>
        <v>0.5</v>
      </c>
      <c r="V879" s="137">
        <f t="shared" ca="1" si="1047"/>
        <v>0.5</v>
      </c>
    </row>
    <row r="880" spans="2:22" s="35" customFormat="1" ht="13.5" customHeight="1" outlineLevel="1">
      <c r="B880" s="38" t="str">
        <f t="shared" ref="B880:B889" si="1048">B1302</f>
        <v>Term loan - A</v>
      </c>
      <c r="C880" s="38"/>
      <c r="D880" s="38"/>
      <c r="E880" s="38"/>
      <c r="F880" s="519">
        <v>0</v>
      </c>
      <c r="G880" s="519">
        <v>0</v>
      </c>
      <c r="H880" s="519">
        <v>0</v>
      </c>
      <c r="I880" s="519">
        <v>0</v>
      </c>
      <c r="J880" s="38"/>
      <c r="K880" s="38"/>
      <c r="L880" s="38"/>
      <c r="M880" s="137">
        <f>M565</f>
        <v>2.8387499999999992</v>
      </c>
      <c r="N880" s="137">
        <f t="shared" ref="N880:V880" ca="1" si="1049">N565</f>
        <v>0</v>
      </c>
      <c r="O880" s="137">
        <f t="shared" ca="1" si="1049"/>
        <v>0</v>
      </c>
      <c r="P880" s="137">
        <f t="shared" ca="1" si="1049"/>
        <v>0</v>
      </c>
      <c r="Q880" s="137">
        <f t="shared" ca="1" si="1049"/>
        <v>0</v>
      </c>
      <c r="R880" s="137">
        <f t="shared" ca="1" si="1049"/>
        <v>0</v>
      </c>
      <c r="S880" s="137">
        <f t="shared" ca="1" si="1049"/>
        <v>0</v>
      </c>
      <c r="T880" s="137">
        <f t="shared" ca="1" si="1049"/>
        <v>0</v>
      </c>
      <c r="U880" s="137">
        <f t="shared" ca="1" si="1049"/>
        <v>0</v>
      </c>
      <c r="V880" s="137">
        <f t="shared" ca="1" si="1049"/>
        <v>0</v>
      </c>
    </row>
    <row r="881" spans="2:22" s="35" customFormat="1" ht="13.5" customHeight="1" outlineLevel="1">
      <c r="B881" s="38" t="str">
        <f t="shared" si="1048"/>
        <v>Term loan - B</v>
      </c>
      <c r="C881" s="38"/>
      <c r="D881" s="38"/>
      <c r="E881" s="38"/>
      <c r="F881" s="519">
        <v>0</v>
      </c>
      <c r="G881" s="519">
        <v>0</v>
      </c>
      <c r="H881" s="519">
        <v>0</v>
      </c>
      <c r="I881" s="519">
        <v>0</v>
      </c>
      <c r="J881" s="38"/>
      <c r="K881" s="38"/>
      <c r="L881" s="38"/>
      <c r="M881" s="137">
        <f>M594</f>
        <v>0</v>
      </c>
      <c r="N881" s="137">
        <f t="shared" ref="N881:V881" ca="1" si="1050">N594</f>
        <v>0</v>
      </c>
      <c r="O881" s="137">
        <f t="shared" ca="1" si="1050"/>
        <v>0</v>
      </c>
      <c r="P881" s="137">
        <f t="shared" ca="1" si="1050"/>
        <v>0</v>
      </c>
      <c r="Q881" s="137">
        <f t="shared" ca="1" si="1050"/>
        <v>0</v>
      </c>
      <c r="R881" s="137">
        <f t="shared" ca="1" si="1050"/>
        <v>0</v>
      </c>
      <c r="S881" s="137">
        <f t="shared" ca="1" si="1050"/>
        <v>0</v>
      </c>
      <c r="T881" s="137">
        <f t="shared" ca="1" si="1050"/>
        <v>0</v>
      </c>
      <c r="U881" s="137">
        <f t="shared" ca="1" si="1050"/>
        <v>0</v>
      </c>
      <c r="V881" s="137">
        <f t="shared" ca="1" si="1050"/>
        <v>0</v>
      </c>
    </row>
    <row r="882" spans="2:22" s="35" customFormat="1" ht="13.5" customHeight="1" outlineLevel="1">
      <c r="B882" s="38" t="str">
        <f t="shared" si="1048"/>
        <v>Senior note</v>
      </c>
      <c r="C882" s="38"/>
      <c r="D882" s="38"/>
      <c r="E882" s="38"/>
      <c r="F882" s="519">
        <v>0</v>
      </c>
      <c r="G882" s="519">
        <v>0</v>
      </c>
      <c r="H882" s="519">
        <v>0</v>
      </c>
      <c r="I882" s="519">
        <v>0</v>
      </c>
      <c r="J882" s="38"/>
      <c r="K882" s="38"/>
      <c r="L882" s="38"/>
      <c r="M882" s="137">
        <f>M623</f>
        <v>7.8974999999999991</v>
      </c>
      <c r="N882" s="137">
        <f t="shared" ref="N882:V882" ca="1" si="1051">N623</f>
        <v>10.96555</v>
      </c>
      <c r="O882" s="137">
        <f t="shared" ca="1" si="1051"/>
        <v>11.489725</v>
      </c>
      <c r="P882" s="137">
        <f t="shared" ca="1" si="1051"/>
        <v>11.910400000000001</v>
      </c>
      <c r="Q882" s="137">
        <f t="shared" ca="1" si="1051"/>
        <v>11.386175000000001</v>
      </c>
      <c r="R882" s="137">
        <f t="shared" ca="1" si="1051"/>
        <v>11.3315</v>
      </c>
      <c r="S882" s="137">
        <f t="shared" ca="1" si="1051"/>
        <v>11.480550000000001</v>
      </c>
      <c r="T882" s="137">
        <f t="shared" ca="1" si="1051"/>
        <v>11.612350000000001</v>
      </c>
      <c r="U882" s="137">
        <f t="shared" ca="1" si="1051"/>
        <v>0</v>
      </c>
      <c r="V882" s="137">
        <f t="shared" ca="1" si="1051"/>
        <v>0</v>
      </c>
    </row>
    <row r="883" spans="2:22" s="35" customFormat="1" ht="13.5" customHeight="1" outlineLevel="1">
      <c r="B883" s="38" t="str">
        <f t="shared" si="1048"/>
        <v>Subordinated note</v>
      </c>
      <c r="C883" s="38"/>
      <c r="D883" s="38"/>
      <c r="E883" s="38"/>
      <c r="F883" s="519">
        <v>0</v>
      </c>
      <c r="G883" s="519">
        <v>0</v>
      </c>
      <c r="H883" s="519">
        <v>0</v>
      </c>
      <c r="I883" s="519">
        <v>0</v>
      </c>
      <c r="J883" s="38"/>
      <c r="K883" s="38"/>
      <c r="L883" s="38"/>
      <c r="M883" s="137">
        <f>M652</f>
        <v>4.3125</v>
      </c>
      <c r="N883" s="137">
        <f t="shared" ref="N883:V883" ca="1" si="1052">N652</f>
        <v>5.75</v>
      </c>
      <c r="O883" s="137">
        <f t="shared" ca="1" si="1052"/>
        <v>5.75</v>
      </c>
      <c r="P883" s="137">
        <f t="shared" ca="1" si="1052"/>
        <v>5.75</v>
      </c>
      <c r="Q883" s="137">
        <f t="shared" ca="1" si="1052"/>
        <v>5.28125</v>
      </c>
      <c r="R883" s="137">
        <f t="shared" ca="1" si="1052"/>
        <v>5.125</v>
      </c>
      <c r="S883" s="137">
        <f t="shared" ca="1" si="1052"/>
        <v>0</v>
      </c>
      <c r="T883" s="137">
        <f t="shared" ca="1" si="1052"/>
        <v>0</v>
      </c>
      <c r="U883" s="137">
        <f t="shared" ca="1" si="1052"/>
        <v>0</v>
      </c>
      <c r="V883" s="137">
        <f t="shared" ca="1" si="1052"/>
        <v>0</v>
      </c>
    </row>
    <row r="884" spans="2:22" s="35" customFormat="1" ht="13.5" customHeight="1" outlineLevel="1">
      <c r="B884" s="38" t="str">
        <f t="shared" si="1048"/>
        <v>Mezzanine</v>
      </c>
      <c r="C884" s="38"/>
      <c r="D884" s="38"/>
      <c r="E884" s="38"/>
      <c r="F884" s="519">
        <v>0</v>
      </c>
      <c r="G884" s="519">
        <v>0</v>
      </c>
      <c r="H884" s="519">
        <v>0</v>
      </c>
      <c r="I884" s="519">
        <v>0</v>
      </c>
      <c r="J884" s="38"/>
      <c r="K884" s="38"/>
      <c r="L884" s="38"/>
      <c r="M884" s="137">
        <f>M681</f>
        <v>0</v>
      </c>
      <c r="N884" s="137">
        <f t="shared" ref="N884:V884" ca="1" si="1053">N681</f>
        <v>0</v>
      </c>
      <c r="O884" s="137">
        <f t="shared" ca="1" si="1053"/>
        <v>0</v>
      </c>
      <c r="P884" s="137">
        <f t="shared" ca="1" si="1053"/>
        <v>0</v>
      </c>
      <c r="Q884" s="137">
        <f t="shared" ca="1" si="1053"/>
        <v>0</v>
      </c>
      <c r="R884" s="137">
        <f t="shared" ca="1" si="1053"/>
        <v>0</v>
      </c>
      <c r="S884" s="137">
        <f t="shared" ca="1" si="1053"/>
        <v>0</v>
      </c>
      <c r="T884" s="137">
        <f t="shared" ca="1" si="1053"/>
        <v>0</v>
      </c>
      <c r="U884" s="137">
        <f t="shared" ca="1" si="1053"/>
        <v>0</v>
      </c>
      <c r="V884" s="137">
        <f t="shared" ca="1" si="1053"/>
        <v>0</v>
      </c>
    </row>
    <row r="885" spans="2:22" s="35" customFormat="1" ht="13.5" customHeight="1" outlineLevel="1">
      <c r="B885" s="38" t="str">
        <f t="shared" si="1048"/>
        <v>Seller note</v>
      </c>
      <c r="C885" s="38"/>
      <c r="D885" s="38"/>
      <c r="E885" s="38"/>
      <c r="F885" s="519">
        <v>0</v>
      </c>
      <c r="G885" s="519">
        <v>0</v>
      </c>
      <c r="H885" s="519">
        <v>0</v>
      </c>
      <c r="I885" s="519">
        <v>0</v>
      </c>
      <c r="J885" s="38"/>
      <c r="K885" s="38"/>
      <c r="L885" s="38"/>
      <c r="M885" s="137">
        <f>M710</f>
        <v>0</v>
      </c>
      <c r="N885" s="137">
        <f t="shared" ref="N885:V885" ca="1" si="1054">N710</f>
        <v>0</v>
      </c>
      <c r="O885" s="137">
        <f t="shared" ca="1" si="1054"/>
        <v>0</v>
      </c>
      <c r="P885" s="137">
        <f t="shared" ca="1" si="1054"/>
        <v>0</v>
      </c>
      <c r="Q885" s="137">
        <f t="shared" ca="1" si="1054"/>
        <v>0</v>
      </c>
      <c r="R885" s="137">
        <f t="shared" ca="1" si="1054"/>
        <v>0</v>
      </c>
      <c r="S885" s="137">
        <f t="shared" ca="1" si="1054"/>
        <v>0</v>
      </c>
      <c r="T885" s="137">
        <f t="shared" ca="1" si="1054"/>
        <v>0</v>
      </c>
      <c r="U885" s="137">
        <f t="shared" ca="1" si="1054"/>
        <v>0</v>
      </c>
      <c r="V885" s="137">
        <f t="shared" ca="1" si="1054"/>
        <v>0</v>
      </c>
    </row>
    <row r="886" spans="2:22" s="35" customFormat="1" ht="13.5" customHeight="1" outlineLevel="1">
      <c r="B886" s="38" t="str">
        <f t="shared" si="1048"/>
        <v>Convertible bond</v>
      </c>
      <c r="C886" s="38"/>
      <c r="D886" s="38"/>
      <c r="E886" s="38"/>
      <c r="F886" s="519">
        <v>0</v>
      </c>
      <c r="G886" s="519">
        <v>0</v>
      </c>
      <c r="H886" s="519">
        <v>0</v>
      </c>
      <c r="I886" s="519">
        <v>0</v>
      </c>
      <c r="J886" s="38"/>
      <c r="K886" s="38"/>
      <c r="L886" s="38"/>
      <c r="M886" s="137">
        <f>M739</f>
        <v>0</v>
      </c>
      <c r="N886" s="137">
        <f t="shared" ref="N886:V886" ca="1" si="1055">N739</f>
        <v>0</v>
      </c>
      <c r="O886" s="137">
        <f t="shared" ca="1" si="1055"/>
        <v>0</v>
      </c>
      <c r="P886" s="137">
        <f t="shared" ca="1" si="1055"/>
        <v>0</v>
      </c>
      <c r="Q886" s="137">
        <f t="shared" ca="1" si="1055"/>
        <v>0</v>
      </c>
      <c r="R886" s="137">
        <f t="shared" ca="1" si="1055"/>
        <v>0</v>
      </c>
      <c r="S886" s="137">
        <f t="shared" ca="1" si="1055"/>
        <v>0</v>
      </c>
      <c r="T886" s="137">
        <f t="shared" ca="1" si="1055"/>
        <v>0</v>
      </c>
      <c r="U886" s="137">
        <f t="shared" ca="1" si="1055"/>
        <v>0</v>
      </c>
      <c r="V886" s="137">
        <f t="shared" ca="1" si="1055"/>
        <v>0</v>
      </c>
    </row>
    <row r="887" spans="2:22" s="35" customFormat="1" ht="13.5" customHeight="1" outlineLevel="1">
      <c r="B887" s="38" t="str">
        <f t="shared" si="1048"/>
        <v>[Debt 8]</v>
      </c>
      <c r="C887" s="38"/>
      <c r="D887" s="38"/>
      <c r="E887" s="38"/>
      <c r="F887" s="519">
        <v>0</v>
      </c>
      <c r="G887" s="519">
        <v>0</v>
      </c>
      <c r="H887" s="519">
        <v>0</v>
      </c>
      <c r="I887" s="519">
        <v>0</v>
      </c>
      <c r="J887" s="38"/>
      <c r="K887" s="38"/>
      <c r="L887" s="38"/>
      <c r="M887" s="137">
        <f>M768</f>
        <v>0</v>
      </c>
      <c r="N887" s="137">
        <f t="shared" ref="N887:V887" ca="1" si="1056">N768</f>
        <v>0</v>
      </c>
      <c r="O887" s="137">
        <f t="shared" ca="1" si="1056"/>
        <v>0</v>
      </c>
      <c r="P887" s="137">
        <f t="shared" ca="1" si="1056"/>
        <v>0</v>
      </c>
      <c r="Q887" s="137">
        <f t="shared" ca="1" si="1056"/>
        <v>0</v>
      </c>
      <c r="R887" s="137">
        <f t="shared" ca="1" si="1056"/>
        <v>0</v>
      </c>
      <c r="S887" s="137">
        <f t="shared" ca="1" si="1056"/>
        <v>0</v>
      </c>
      <c r="T887" s="137">
        <f t="shared" ca="1" si="1056"/>
        <v>0</v>
      </c>
      <c r="U887" s="137">
        <f t="shared" ca="1" si="1056"/>
        <v>0</v>
      </c>
      <c r="V887" s="137">
        <f t="shared" ca="1" si="1056"/>
        <v>0</v>
      </c>
    </row>
    <row r="888" spans="2:22" s="35" customFormat="1" ht="13.5" customHeight="1" outlineLevel="1">
      <c r="B888" s="38" t="str">
        <f t="shared" si="1048"/>
        <v>Preferred stock - A</v>
      </c>
      <c r="C888" s="38"/>
      <c r="D888" s="38"/>
      <c r="E888" s="38"/>
      <c r="F888" s="519">
        <v>0</v>
      </c>
      <c r="G888" s="519">
        <v>0</v>
      </c>
      <c r="H888" s="519">
        <v>0</v>
      </c>
      <c r="I888" s="519">
        <v>0</v>
      </c>
      <c r="J888" s="38"/>
      <c r="K888" s="38"/>
      <c r="L888" s="38"/>
      <c r="M888" s="137">
        <f>M797</f>
        <v>0.99374999999999991</v>
      </c>
      <c r="N888" s="137">
        <f t="shared" ref="N888:V888" ca="1" si="1057">N797</f>
        <v>1.44425</v>
      </c>
      <c r="O888" s="137">
        <f t="shared" ca="1" si="1057"/>
        <v>1.6175600000000001</v>
      </c>
      <c r="P888" s="137">
        <f t="shared" ca="1" si="1057"/>
        <v>1.8116671999999998</v>
      </c>
      <c r="Q888" s="137">
        <f t="shared" ca="1" si="1057"/>
        <v>1.7722672159999999</v>
      </c>
      <c r="R888" s="137">
        <f t="shared" ca="1" si="1057"/>
        <v>1.7410172159999999</v>
      </c>
      <c r="S888" s="137">
        <f t="shared" ca="1" si="1057"/>
        <v>1.7410172159999999</v>
      </c>
      <c r="T888" s="137">
        <f t="shared" ca="1" si="1057"/>
        <v>1.7410172159999999</v>
      </c>
      <c r="U888" s="137">
        <f t="shared" ca="1" si="1057"/>
        <v>1.7410172159999999</v>
      </c>
      <c r="V888" s="137">
        <f t="shared" ca="1" si="1057"/>
        <v>1.7410172159999999</v>
      </c>
    </row>
    <row r="889" spans="2:22" s="35" customFormat="1" ht="13.5" customHeight="1" outlineLevel="1">
      <c r="B889" s="38" t="str">
        <f t="shared" si="1048"/>
        <v>Preferred stock - B</v>
      </c>
      <c r="C889" s="38"/>
      <c r="D889" s="38"/>
      <c r="E889" s="38"/>
      <c r="F889" s="519">
        <v>0</v>
      </c>
      <c r="G889" s="519">
        <v>0</v>
      </c>
      <c r="H889" s="519">
        <v>0</v>
      </c>
      <c r="I889" s="519">
        <v>0</v>
      </c>
      <c r="J889" s="38"/>
      <c r="K889" s="38"/>
      <c r="L889" s="38"/>
      <c r="M889" s="137">
        <f>M826</f>
        <v>0</v>
      </c>
      <c r="N889" s="137">
        <f t="shared" ref="N889:V889" ca="1" si="1058">N826</f>
        <v>0</v>
      </c>
      <c r="O889" s="137">
        <f t="shared" ca="1" si="1058"/>
        <v>0</v>
      </c>
      <c r="P889" s="137">
        <f t="shared" ca="1" si="1058"/>
        <v>0</v>
      </c>
      <c r="Q889" s="137">
        <f t="shared" ca="1" si="1058"/>
        <v>0</v>
      </c>
      <c r="R889" s="137">
        <f t="shared" ca="1" si="1058"/>
        <v>0</v>
      </c>
      <c r="S889" s="137">
        <f t="shared" ca="1" si="1058"/>
        <v>0</v>
      </c>
      <c r="T889" s="137">
        <f t="shared" ca="1" si="1058"/>
        <v>0</v>
      </c>
      <c r="U889" s="137">
        <f t="shared" ca="1" si="1058"/>
        <v>0</v>
      </c>
      <c r="V889" s="137">
        <f t="shared" ca="1" si="1058"/>
        <v>0</v>
      </c>
    </row>
    <row r="890" spans="2:22" s="35" customFormat="1" ht="13.5" customHeight="1" outlineLevel="1">
      <c r="B890" s="38"/>
      <c r="C890" s="38"/>
      <c r="D890" s="38"/>
      <c r="E890" s="38"/>
      <c r="F890" s="38"/>
      <c r="G890" s="38"/>
      <c r="H890" s="38"/>
      <c r="I890" s="295"/>
      <c r="J890" s="38"/>
      <c r="K890" s="38"/>
      <c r="L890" s="38"/>
      <c r="M890" s="170"/>
      <c r="N890" s="170"/>
      <c r="O890" s="170"/>
      <c r="P890" s="170"/>
      <c r="Q890" s="170"/>
      <c r="R890" s="170"/>
      <c r="S890" s="170"/>
      <c r="T890" s="170"/>
      <c r="U890" s="170"/>
      <c r="V890" s="170"/>
    </row>
    <row r="891" spans="2:22" s="35" customFormat="1" ht="13.5" customHeight="1" outlineLevel="1">
      <c r="B891" s="297" t="s">
        <v>538</v>
      </c>
      <c r="C891" s="80"/>
      <c r="D891" s="80"/>
      <c r="E891" s="80"/>
      <c r="F891" s="80"/>
      <c r="G891" s="80"/>
      <c r="H891" s="80"/>
      <c r="I891" s="298"/>
      <c r="J891" s="80"/>
      <c r="K891" s="80"/>
      <c r="L891" s="80"/>
      <c r="M891" s="299">
        <f t="shared" ref="M891:V891" ca="1" si="1059">SUM(M878:M879)+SUMPRODUCT(M880:M889,$G1302:$G1311)</f>
        <v>11.111249999999998</v>
      </c>
      <c r="N891" s="299">
        <f t="shared" ca="1" si="1059"/>
        <v>11.46555</v>
      </c>
      <c r="O891" s="299">
        <f t="shared" ca="1" si="1059"/>
        <v>11.989725</v>
      </c>
      <c r="P891" s="299">
        <f t="shared" ca="1" si="1059"/>
        <v>12.410400000000001</v>
      </c>
      <c r="Q891" s="299">
        <f t="shared" ca="1" si="1059"/>
        <v>11.886175000000001</v>
      </c>
      <c r="R891" s="299">
        <f t="shared" ca="1" si="1059"/>
        <v>11.8315</v>
      </c>
      <c r="S891" s="299">
        <f t="shared" ca="1" si="1059"/>
        <v>11.980550000000001</v>
      </c>
      <c r="T891" s="299">
        <f t="shared" ca="1" si="1059"/>
        <v>12.112350000000001</v>
      </c>
      <c r="U891" s="299">
        <f t="shared" ca="1" si="1059"/>
        <v>0.5</v>
      </c>
      <c r="V891" s="299">
        <f t="shared" ca="1" si="1059"/>
        <v>0.5</v>
      </c>
    </row>
    <row r="892" spans="2:22" s="35" customFormat="1" ht="13.5" customHeight="1" outlineLevel="1">
      <c r="B892" s="297" t="s">
        <v>211</v>
      </c>
      <c r="C892" s="80"/>
      <c r="D892" s="80"/>
      <c r="E892" s="80"/>
      <c r="F892" s="80"/>
      <c r="G892" s="80"/>
      <c r="H892" s="80"/>
      <c r="I892" s="298"/>
      <c r="J892" s="80"/>
      <c r="K892" s="80"/>
      <c r="L892" s="80"/>
      <c r="M892" s="300">
        <f t="shared" ref="M892:V892" ca="1" si="1060">SUM(M878:M889)-SUMPRODUCT(M880:M889,M863:M872)-(SUMPRODUCT(M880:M889,$H1302:$H1311)-SUMPRODUCT(M880:M889,$H1302:$H1311,M863:M872))</f>
        <v>15.423749999999997</v>
      </c>
      <c r="N892" s="300">
        <f t="shared" ca="1" si="1060"/>
        <v>17.21555</v>
      </c>
      <c r="O892" s="300">
        <f t="shared" ca="1" si="1060"/>
        <v>17.739725</v>
      </c>
      <c r="P892" s="300">
        <f t="shared" ca="1" si="1060"/>
        <v>18.160400000000003</v>
      </c>
      <c r="Q892" s="300">
        <f t="shared" ca="1" si="1060"/>
        <v>17.167425000000001</v>
      </c>
      <c r="R892" s="300">
        <f t="shared" ca="1" si="1060"/>
        <v>16.956499999999998</v>
      </c>
      <c r="S892" s="300">
        <f t="shared" ca="1" si="1060"/>
        <v>11.980550000000001</v>
      </c>
      <c r="T892" s="300">
        <f t="shared" ca="1" si="1060"/>
        <v>12.112350000000001</v>
      </c>
      <c r="U892" s="300">
        <f t="shared" ca="1" si="1060"/>
        <v>0.5</v>
      </c>
      <c r="V892" s="300">
        <f t="shared" ca="1" si="1060"/>
        <v>0.5</v>
      </c>
    </row>
    <row r="893" spans="2:22" s="35" customFormat="1" ht="13.5" customHeight="1" outlineLevel="1">
      <c r="B893" s="297" t="s">
        <v>539</v>
      </c>
      <c r="C893" s="80"/>
      <c r="D893" s="80"/>
      <c r="E893" s="80"/>
      <c r="F893" s="80"/>
      <c r="G893" s="80"/>
      <c r="H893" s="80"/>
      <c r="I893" s="298"/>
      <c r="J893" s="80"/>
      <c r="K893" s="80"/>
      <c r="L893" s="80"/>
      <c r="M893" s="300">
        <f t="shared" ref="M893:V893" ca="1" si="1061">SUM(M878:M889)-SUMPRODUCT(M880:M889,$H1302:$H1311)</f>
        <v>15.423749999999997</v>
      </c>
      <c r="N893" s="300">
        <f t="shared" ca="1" si="1061"/>
        <v>17.21555</v>
      </c>
      <c r="O893" s="300">
        <f t="shared" ca="1" si="1061"/>
        <v>17.739725</v>
      </c>
      <c r="P893" s="300">
        <f t="shared" ca="1" si="1061"/>
        <v>18.160400000000003</v>
      </c>
      <c r="Q893" s="300">
        <f t="shared" ca="1" si="1061"/>
        <v>17.167425000000001</v>
      </c>
      <c r="R893" s="300">
        <f t="shared" ca="1" si="1061"/>
        <v>16.956499999999998</v>
      </c>
      <c r="S893" s="300">
        <f t="shared" ca="1" si="1061"/>
        <v>11.980550000000001</v>
      </c>
      <c r="T893" s="300">
        <f t="shared" ca="1" si="1061"/>
        <v>12.112350000000001</v>
      </c>
      <c r="U893" s="300">
        <f t="shared" ca="1" si="1061"/>
        <v>0.5</v>
      </c>
      <c r="V893" s="300">
        <f t="shared" ca="1" si="1061"/>
        <v>0.5</v>
      </c>
    </row>
    <row r="894" spans="2:22" s="35" customFormat="1" ht="13.5" customHeight="1" outlineLevel="1">
      <c r="B894" s="297" t="s">
        <v>540</v>
      </c>
      <c r="C894" s="80"/>
      <c r="D894" s="80"/>
      <c r="E894" s="80"/>
      <c r="F894" s="80"/>
      <c r="G894" s="80"/>
      <c r="H894" s="80"/>
      <c r="I894" s="298"/>
      <c r="J894" s="80"/>
      <c r="K894" s="80"/>
      <c r="L894" s="80"/>
      <c r="M894" s="300">
        <f t="shared" ref="M894:V894" si="1062">SUMPRODUCT(M880:M889,$H1302:$H1311)</f>
        <v>0.99374999999999991</v>
      </c>
      <c r="N894" s="300">
        <f t="shared" ca="1" si="1062"/>
        <v>1.44425</v>
      </c>
      <c r="O894" s="300">
        <f t="shared" ca="1" si="1062"/>
        <v>1.6175600000000001</v>
      </c>
      <c r="P894" s="300">
        <f t="shared" ca="1" si="1062"/>
        <v>1.8116671999999998</v>
      </c>
      <c r="Q894" s="300">
        <f t="shared" ca="1" si="1062"/>
        <v>1.7722672159999999</v>
      </c>
      <c r="R894" s="300">
        <f t="shared" ca="1" si="1062"/>
        <v>1.7410172159999999</v>
      </c>
      <c r="S894" s="300">
        <f t="shared" ca="1" si="1062"/>
        <v>1.7410172159999999</v>
      </c>
      <c r="T894" s="300">
        <f t="shared" ca="1" si="1062"/>
        <v>1.7410172159999999</v>
      </c>
      <c r="U894" s="300">
        <f t="shared" ca="1" si="1062"/>
        <v>1.7410172159999999</v>
      </c>
      <c r="V894" s="300">
        <f t="shared" ca="1" si="1062"/>
        <v>1.7410172159999999</v>
      </c>
    </row>
    <row r="895" spans="2:22" s="35" customFormat="1" ht="5.0999999999999996" customHeight="1" outlineLevel="1" thickBot="1">
      <c r="B895" s="121"/>
      <c r="C895" s="121"/>
      <c r="D895" s="121"/>
      <c r="E895" s="121"/>
      <c r="F895" s="121"/>
      <c r="G895" s="121"/>
      <c r="H895" s="121"/>
      <c r="I895" s="301"/>
      <c r="J895" s="121"/>
      <c r="K895" s="121"/>
      <c r="L895" s="121"/>
      <c r="M895" s="121"/>
      <c r="N895" s="121"/>
      <c r="O895" s="121"/>
      <c r="P895" s="121"/>
      <c r="Q895" s="121"/>
      <c r="R895" s="121"/>
      <c r="S895" s="121"/>
      <c r="T895" s="121"/>
      <c r="U895" s="121"/>
      <c r="V895" s="121"/>
    </row>
    <row r="896" spans="2:22" ht="13.5" customHeight="1" outlineLevel="1"/>
    <row r="897" spans="1:22" ht="13.5" customHeight="1" outlineLevel="1" thickBot="1"/>
    <row r="898" spans="1:22" s="35" customFormat="1" ht="20.100000000000001" customHeight="1" thickTop="1">
      <c r="A898" s="41" t="s">
        <v>426</v>
      </c>
      <c r="B898" s="42" t="s">
        <v>71</v>
      </c>
      <c r="C898" s="43"/>
      <c r="D898" s="44"/>
      <c r="E898" s="44"/>
      <c r="F898" s="44"/>
      <c r="G898" s="44"/>
      <c r="H898" s="44"/>
      <c r="I898" s="44"/>
      <c r="J898" s="44"/>
      <c r="K898" s="44"/>
      <c r="L898" s="44"/>
      <c r="M898" s="44"/>
      <c r="N898" s="44"/>
      <c r="O898" s="44"/>
      <c r="P898" s="44"/>
      <c r="Q898" s="44"/>
      <c r="R898" s="44"/>
      <c r="S898" s="44"/>
      <c r="T898" s="44"/>
      <c r="U898" s="44"/>
      <c r="V898" s="44"/>
    </row>
    <row r="899" spans="1:22" s="35" customFormat="1" outlineLevel="1">
      <c r="B899" s="154"/>
      <c r="V899" s="155" t="str">
        <f ca="1">err_msg</f>
        <v/>
      </c>
    </row>
    <row r="900" spans="1:22" s="35" customFormat="1" ht="13.5" customHeight="1" outlineLevel="1">
      <c r="B900" s="267"/>
      <c r="K900" s="261"/>
      <c r="L900" s="261"/>
      <c r="M900" s="126" t="str">
        <f>M$144</f>
        <v>3 Quarters</v>
      </c>
      <c r="N900" s="302" t="str">
        <f>N$144</f>
        <v>Fiscal Years Ending September 30,</v>
      </c>
      <c r="O900" s="302"/>
      <c r="P900" s="302"/>
      <c r="Q900" s="302"/>
      <c r="R900" s="302"/>
      <c r="S900" s="302"/>
      <c r="T900" s="302"/>
      <c r="U900" s="302"/>
      <c r="V900" s="302"/>
    </row>
    <row r="901" spans="1:22" s="35" customFormat="1" ht="13.5" customHeight="1" outlineLevel="1">
      <c r="K901" s="109" t="s">
        <v>106</v>
      </c>
      <c r="L901" s="109"/>
      <c r="M901" s="109" t="str">
        <f t="shared" ref="M901" si="1063">M$145</f>
        <v>Ending</v>
      </c>
      <c r="N901" s="109">
        <f>N$145</f>
        <v>2</v>
      </c>
      <c r="O901" s="109">
        <f t="shared" ref="O901:V901" si="1064">O$145</f>
        <v>3</v>
      </c>
      <c r="P901" s="109">
        <f t="shared" si="1064"/>
        <v>4</v>
      </c>
      <c r="Q901" s="109">
        <f t="shared" si="1064"/>
        <v>5</v>
      </c>
      <c r="R901" s="109">
        <f t="shared" si="1064"/>
        <v>6</v>
      </c>
      <c r="S901" s="109">
        <f t="shared" si="1064"/>
        <v>7</v>
      </c>
      <c r="T901" s="109">
        <f t="shared" si="1064"/>
        <v>8</v>
      </c>
      <c r="U901" s="109">
        <f t="shared" si="1064"/>
        <v>9</v>
      </c>
      <c r="V901" s="109">
        <f t="shared" si="1064"/>
        <v>10</v>
      </c>
    </row>
    <row r="902" spans="1:22" s="35" customFormat="1" ht="13.5" customHeight="1" outlineLevel="1" thickBot="1">
      <c r="B902" s="130" t="s">
        <v>246</v>
      </c>
      <c r="C902" s="303"/>
      <c r="D902" s="303"/>
      <c r="E902" s="303"/>
      <c r="F902" s="303"/>
      <c r="G902" s="303"/>
      <c r="H902" s="303"/>
      <c r="I902" s="303"/>
      <c r="J902" s="303"/>
      <c r="K902" s="210" t="s">
        <v>88</v>
      </c>
      <c r="L902" s="210"/>
      <c r="M902" s="209">
        <f t="shared" ref="M902" si="1065">M$146</f>
        <v>45565</v>
      </c>
      <c r="N902" s="211">
        <f>N$146</f>
        <v>45930</v>
      </c>
      <c r="O902" s="211">
        <f t="shared" ref="O902:V902" si="1066">O$146</f>
        <v>46295</v>
      </c>
      <c r="P902" s="211">
        <f t="shared" si="1066"/>
        <v>46660</v>
      </c>
      <c r="Q902" s="211">
        <f t="shared" si="1066"/>
        <v>47026</v>
      </c>
      <c r="R902" s="211">
        <f t="shared" si="1066"/>
        <v>47391</v>
      </c>
      <c r="S902" s="211">
        <f t="shared" si="1066"/>
        <v>47756</v>
      </c>
      <c r="T902" s="211">
        <f t="shared" si="1066"/>
        <v>48121</v>
      </c>
      <c r="U902" s="211">
        <f t="shared" si="1066"/>
        <v>48487</v>
      </c>
      <c r="V902" s="211">
        <f t="shared" si="1066"/>
        <v>48852</v>
      </c>
    </row>
    <row r="903" spans="1:22" s="35" customFormat="1" ht="5.0999999999999996" customHeight="1" outlineLevel="1">
      <c r="K903" s="304"/>
      <c r="M903" s="304"/>
      <c r="N903" s="304"/>
      <c r="O903" s="304"/>
      <c r="P903" s="304"/>
      <c r="Q903" s="304"/>
      <c r="R903" s="304"/>
      <c r="S903" s="304"/>
      <c r="T903" s="304"/>
      <c r="U903" s="304"/>
      <c r="V903" s="304"/>
    </row>
    <row r="904" spans="1:22" s="35" customFormat="1" ht="13.5" customHeight="1" outlineLevel="1">
      <c r="B904" s="38" t="str">
        <f t="shared" ref="B904:B914" si="1067">B1301</f>
        <v>Revolver</v>
      </c>
      <c r="C904" s="38"/>
      <c r="D904" s="38"/>
      <c r="E904" s="38"/>
      <c r="F904" s="38"/>
      <c r="G904" s="38"/>
      <c r="H904" s="38"/>
      <c r="I904" s="38"/>
      <c r="J904" s="38"/>
      <c r="K904" s="54">
        <f t="shared" ref="K904:K914" si="1068">IFERROR(K1301/J1301,0)</f>
        <v>0.35000000000000003</v>
      </c>
      <c r="L904" s="38"/>
      <c r="M904" s="213">
        <f t="shared" ref="M904:M914" si="1069">K904*M$148</f>
        <v>0.26250000000000001</v>
      </c>
      <c r="N904" s="54">
        <f>MAX(0,MIN($K904,$K1301-SUM($M904:M904)))</f>
        <v>0.35000000000000003</v>
      </c>
      <c r="O904" s="54">
        <f>MAX(0,MIN($K904,$K1301-SUM($M904:N904)))</f>
        <v>0.35000000000000003</v>
      </c>
      <c r="P904" s="54">
        <f>MAX(0,MIN($K904,$K1301-SUM($M904:O904)))</f>
        <v>0.35000000000000003</v>
      </c>
      <c r="Q904" s="54">
        <f>MAX(0,MIN($K904,$K1301-SUM($M904:P904)))</f>
        <v>0.35000000000000003</v>
      </c>
      <c r="R904" s="54">
        <f>MAX(0,MIN($K904,$K1301-SUM($M904:Q904)))</f>
        <v>8.7499999999999911E-2</v>
      </c>
      <c r="S904" s="54">
        <f>MAX(0,MIN($K904,$K1301-SUM($M904:R904)))</f>
        <v>0</v>
      </c>
      <c r="T904" s="54">
        <f>MAX(0,MIN($K904,$K1301-SUM($M904:S904)))</f>
        <v>0</v>
      </c>
      <c r="U904" s="54">
        <f>MAX(0,MIN($K904,$K1301-SUM($M904:T904)))</f>
        <v>0</v>
      </c>
      <c r="V904" s="54">
        <f>MAX(0,MIN($K904,$K1301-SUM($M904:U904)))</f>
        <v>0</v>
      </c>
    </row>
    <row r="905" spans="1:22" s="35" customFormat="1" ht="13.5" customHeight="1" outlineLevel="1">
      <c r="B905" s="38" t="str">
        <f t="shared" si="1067"/>
        <v>Term loan - A</v>
      </c>
      <c r="C905" s="38"/>
      <c r="D905" s="38"/>
      <c r="E905" s="38"/>
      <c r="F905" s="38"/>
      <c r="G905" s="38"/>
      <c r="H905" s="38"/>
      <c r="I905" s="38"/>
      <c r="J905" s="38"/>
      <c r="K905" s="57">
        <f t="shared" si="1068"/>
        <v>0.2</v>
      </c>
      <c r="L905" s="38"/>
      <c r="M905" s="113">
        <f t="shared" si="1069"/>
        <v>0.15000000000000002</v>
      </c>
      <c r="N905" s="57">
        <f>MAX(0,MIN($K905,$K1302-SUM($M905:M905)))</f>
        <v>0.2</v>
      </c>
      <c r="O905" s="57">
        <f>MAX(0,MIN($K905,$K1302-SUM($M905:N905)))</f>
        <v>0.2</v>
      </c>
      <c r="P905" s="57">
        <f>MAX(0,MIN($K905,$K1302-SUM($M905:O905)))</f>
        <v>0.2</v>
      </c>
      <c r="Q905" s="57">
        <f>MAX(0,MIN($K905,$K1302-SUM($M905:P905)))</f>
        <v>0.2</v>
      </c>
      <c r="R905" s="57">
        <f>MAX(0,MIN($K905,$K1302-SUM($M905:Q905)))</f>
        <v>5.0000000000000044E-2</v>
      </c>
      <c r="S905" s="57">
        <f>MAX(0,MIN($K905,$K1302-SUM($M905:R905)))</f>
        <v>0</v>
      </c>
      <c r="T905" s="57">
        <f>MAX(0,MIN($K905,$K1302-SUM($M905:S905)))</f>
        <v>0</v>
      </c>
      <c r="U905" s="57">
        <f>MAX(0,MIN($K905,$K1302-SUM($M905:T905)))</f>
        <v>0</v>
      </c>
      <c r="V905" s="57">
        <f>MAX(0,MIN($K905,$K1302-SUM($M905:U905)))</f>
        <v>0</v>
      </c>
    </row>
    <row r="906" spans="1:22" s="35" customFormat="1" ht="13.5" customHeight="1" outlineLevel="1">
      <c r="B906" s="38" t="str">
        <f t="shared" si="1067"/>
        <v>Term loan - B</v>
      </c>
      <c r="C906" s="38"/>
      <c r="D906" s="38"/>
      <c r="E906" s="38"/>
      <c r="F906" s="38"/>
      <c r="G906" s="38"/>
      <c r="H906" s="38"/>
      <c r="I906" s="38"/>
      <c r="J906" s="38"/>
      <c r="K906" s="57">
        <f t="shared" si="1068"/>
        <v>0</v>
      </c>
      <c r="L906" s="38"/>
      <c r="M906" s="113">
        <f t="shared" si="1069"/>
        <v>0</v>
      </c>
      <c r="N906" s="57">
        <f>MAX(0,MIN($K906,$K1303-SUM($M906:M906)))</f>
        <v>0</v>
      </c>
      <c r="O906" s="57">
        <f>MAX(0,MIN($K906,$K1303-SUM($M906:N906)))</f>
        <v>0</v>
      </c>
      <c r="P906" s="57">
        <f>MAX(0,MIN($K906,$K1303-SUM($M906:O906)))</f>
        <v>0</v>
      </c>
      <c r="Q906" s="57">
        <f>MAX(0,MIN($K906,$K1303-SUM($M906:P906)))</f>
        <v>0</v>
      </c>
      <c r="R906" s="57">
        <f>MAX(0,MIN($K906,$K1303-SUM($M906:Q906)))</f>
        <v>0</v>
      </c>
      <c r="S906" s="57">
        <f>MAX(0,MIN($K906,$K1303-SUM($M906:R906)))</f>
        <v>0</v>
      </c>
      <c r="T906" s="57">
        <f>MAX(0,MIN($K906,$K1303-SUM($M906:S906)))</f>
        <v>0</v>
      </c>
      <c r="U906" s="57">
        <f>MAX(0,MIN($K906,$K1303-SUM($M906:T906)))</f>
        <v>0</v>
      </c>
      <c r="V906" s="57">
        <f>MAX(0,MIN($K906,$K1303-SUM($M906:U906)))</f>
        <v>0</v>
      </c>
    </row>
    <row r="907" spans="1:22" s="35" customFormat="1" ht="13.5" customHeight="1" outlineLevel="1">
      <c r="B907" s="38" t="str">
        <f t="shared" si="1067"/>
        <v>Senior note</v>
      </c>
      <c r="C907" s="38"/>
      <c r="D907" s="38"/>
      <c r="E907" s="38"/>
      <c r="F907" s="38"/>
      <c r="G907" s="38"/>
      <c r="H907" s="38"/>
      <c r="I907" s="38"/>
      <c r="J907" s="38"/>
      <c r="K907" s="57">
        <f t="shared" si="1068"/>
        <v>0.32142857142857145</v>
      </c>
      <c r="L907" s="38"/>
      <c r="M907" s="113">
        <f t="shared" si="1069"/>
        <v>0.2410714285714286</v>
      </c>
      <c r="N907" s="57">
        <f>MAX(0,MIN($K907,$K1304-SUM($M907:M907)))</f>
        <v>0.32142857142857145</v>
      </c>
      <c r="O907" s="57">
        <f>MAX(0,MIN($K907,$K1304-SUM($M907:N907)))</f>
        <v>0.32142857142857145</v>
      </c>
      <c r="P907" s="57">
        <f>MAX(0,MIN($K907,$K1304-SUM($M907:O907)))</f>
        <v>0.32142857142857145</v>
      </c>
      <c r="Q907" s="57">
        <f>MAX(0,MIN($K907,$K1304-SUM($M907:P907)))</f>
        <v>0.32142857142857145</v>
      </c>
      <c r="R907" s="57">
        <f>MAX(0,MIN($K907,$K1304-SUM($M907:Q907)))</f>
        <v>0.32142857142857145</v>
      </c>
      <c r="S907" s="57">
        <f>MAX(0,MIN($K907,$K1304-SUM($M907:R907)))</f>
        <v>0.32142857142857145</v>
      </c>
      <c r="T907" s="57">
        <f>MAX(0,MIN($K907,$K1304-SUM($M907:S907)))</f>
        <v>8.0357142857142794E-2</v>
      </c>
      <c r="U907" s="57">
        <f>MAX(0,MIN($K907,$K1304-SUM($M907:T907)))</f>
        <v>0</v>
      </c>
      <c r="V907" s="57">
        <f>MAX(0,MIN($K907,$K1304-SUM($M907:U907)))</f>
        <v>0</v>
      </c>
    </row>
    <row r="908" spans="1:22" s="35" customFormat="1" ht="13.5" customHeight="1" outlineLevel="1">
      <c r="B908" s="38" t="str">
        <f t="shared" si="1067"/>
        <v>Subordinated note</v>
      </c>
      <c r="C908" s="38"/>
      <c r="D908" s="38"/>
      <c r="E908" s="38"/>
      <c r="F908" s="38"/>
      <c r="G908" s="38"/>
      <c r="H908" s="38"/>
      <c r="I908" s="38"/>
      <c r="J908" s="38"/>
      <c r="K908" s="57">
        <f t="shared" si="1068"/>
        <v>0.21428571428571427</v>
      </c>
      <c r="L908" s="38"/>
      <c r="M908" s="113">
        <f t="shared" si="1069"/>
        <v>0.1607142857142857</v>
      </c>
      <c r="N908" s="57">
        <f>MAX(0,MIN($K908,$K1305-SUM($M908:M908)))</f>
        <v>0.21428571428571427</v>
      </c>
      <c r="O908" s="57">
        <f>MAX(0,MIN($K908,$K1305-SUM($M908:N908)))</f>
        <v>0.21428571428571427</v>
      </c>
      <c r="P908" s="57">
        <f>MAX(0,MIN($K908,$K1305-SUM($M908:O908)))</f>
        <v>0.21428571428571427</v>
      </c>
      <c r="Q908" s="57">
        <f>MAX(0,MIN($K908,$K1305-SUM($M908:P908)))</f>
        <v>0.21428571428571427</v>
      </c>
      <c r="R908" s="57">
        <f>MAX(0,MIN($K908,$K1305-SUM($M908:Q908)))</f>
        <v>0.21428571428571427</v>
      </c>
      <c r="S908" s="57">
        <f>MAX(0,MIN($K908,$K1305-SUM($M908:R908)))</f>
        <v>0.21428571428571427</v>
      </c>
      <c r="T908" s="57">
        <f>MAX(0,MIN($K908,$K1305-SUM($M908:S908)))</f>
        <v>5.3571428571428825E-2</v>
      </c>
      <c r="U908" s="57">
        <f>MAX(0,MIN($K908,$K1305-SUM($M908:T908)))</f>
        <v>0</v>
      </c>
      <c r="V908" s="57">
        <f>MAX(0,MIN($K908,$K1305-SUM($M908:U908)))</f>
        <v>0</v>
      </c>
    </row>
    <row r="909" spans="1:22" s="35" customFormat="1" ht="13.5" customHeight="1" outlineLevel="1">
      <c r="B909" s="38" t="str">
        <f t="shared" si="1067"/>
        <v>Mezzanine</v>
      </c>
      <c r="C909" s="38"/>
      <c r="D909" s="38"/>
      <c r="E909" s="38"/>
      <c r="F909" s="38"/>
      <c r="G909" s="38"/>
      <c r="H909" s="38"/>
      <c r="I909" s="38"/>
      <c r="J909" s="38"/>
      <c r="K909" s="57">
        <f t="shared" si="1068"/>
        <v>0</v>
      </c>
      <c r="L909" s="38"/>
      <c r="M909" s="113">
        <f t="shared" si="1069"/>
        <v>0</v>
      </c>
      <c r="N909" s="57">
        <f>MAX(0,MIN($K909,$K1306-SUM($M909:M909)))</f>
        <v>0</v>
      </c>
      <c r="O909" s="57">
        <f>MAX(0,MIN($K909,$K1306-SUM($M909:N909)))</f>
        <v>0</v>
      </c>
      <c r="P909" s="57">
        <f>MAX(0,MIN($K909,$K1306-SUM($M909:O909)))</f>
        <v>0</v>
      </c>
      <c r="Q909" s="57">
        <f>MAX(0,MIN($K909,$K1306-SUM($M909:P909)))</f>
        <v>0</v>
      </c>
      <c r="R909" s="57">
        <f>MAX(0,MIN($K909,$K1306-SUM($M909:Q909)))</f>
        <v>0</v>
      </c>
      <c r="S909" s="57">
        <f>MAX(0,MIN($K909,$K1306-SUM($M909:R909)))</f>
        <v>0</v>
      </c>
      <c r="T909" s="57">
        <f>MAX(0,MIN($K909,$K1306-SUM($M909:S909)))</f>
        <v>0</v>
      </c>
      <c r="U909" s="57">
        <f>MAX(0,MIN($K909,$K1306-SUM($M909:T909)))</f>
        <v>0</v>
      </c>
      <c r="V909" s="57">
        <f>MAX(0,MIN($K909,$K1306-SUM($M909:U909)))</f>
        <v>0</v>
      </c>
    </row>
    <row r="910" spans="1:22" s="35" customFormat="1" ht="13.5" customHeight="1" outlineLevel="1">
      <c r="B910" s="38" t="str">
        <f t="shared" si="1067"/>
        <v>Seller note</v>
      </c>
      <c r="C910" s="38"/>
      <c r="D910" s="38"/>
      <c r="E910" s="38"/>
      <c r="F910" s="38"/>
      <c r="G910" s="38"/>
      <c r="H910" s="38"/>
      <c r="I910" s="38"/>
      <c r="J910" s="38"/>
      <c r="K910" s="57">
        <f t="shared" si="1068"/>
        <v>0</v>
      </c>
      <c r="L910" s="38"/>
      <c r="M910" s="113">
        <f t="shared" si="1069"/>
        <v>0</v>
      </c>
      <c r="N910" s="57">
        <f>MAX(0,MIN($K910,$K1307-SUM($M910:M910)))</f>
        <v>0</v>
      </c>
      <c r="O910" s="57">
        <f>MAX(0,MIN($K910,$K1307-SUM($M910:N910)))</f>
        <v>0</v>
      </c>
      <c r="P910" s="57">
        <f>MAX(0,MIN($K910,$K1307-SUM($M910:O910)))</f>
        <v>0</v>
      </c>
      <c r="Q910" s="57">
        <f>MAX(0,MIN($K910,$K1307-SUM($M910:P910)))</f>
        <v>0</v>
      </c>
      <c r="R910" s="57">
        <f>MAX(0,MIN($K910,$K1307-SUM($M910:Q910)))</f>
        <v>0</v>
      </c>
      <c r="S910" s="57">
        <f>MAX(0,MIN($K910,$K1307-SUM($M910:R910)))</f>
        <v>0</v>
      </c>
      <c r="T910" s="57">
        <f>MAX(0,MIN($K910,$K1307-SUM($M910:S910)))</f>
        <v>0</v>
      </c>
      <c r="U910" s="57">
        <f>MAX(0,MIN($K910,$K1307-SUM($M910:T910)))</f>
        <v>0</v>
      </c>
      <c r="V910" s="57">
        <f>MAX(0,MIN($K910,$K1307-SUM($M910:U910)))</f>
        <v>0</v>
      </c>
    </row>
    <row r="911" spans="1:22" s="35" customFormat="1" ht="13.5" customHeight="1" outlineLevel="1">
      <c r="B911" s="38" t="str">
        <f t="shared" si="1067"/>
        <v>Convertible bond</v>
      </c>
      <c r="C911" s="38"/>
      <c r="D911" s="38"/>
      <c r="E911" s="38"/>
      <c r="F911" s="38"/>
      <c r="G911" s="38"/>
      <c r="H911" s="38"/>
      <c r="I911" s="38"/>
      <c r="J911" s="38"/>
      <c r="K911" s="57">
        <f t="shared" si="1068"/>
        <v>0</v>
      </c>
      <c r="L911" s="38"/>
      <c r="M911" s="113">
        <f t="shared" si="1069"/>
        <v>0</v>
      </c>
      <c r="N911" s="57">
        <f>MAX(0,MIN($K911,$K1308-SUM($M911:M911)))</f>
        <v>0</v>
      </c>
      <c r="O911" s="57">
        <f>MAX(0,MIN($K911,$K1308-SUM($M911:N911)))</f>
        <v>0</v>
      </c>
      <c r="P911" s="57">
        <f>MAX(0,MIN($K911,$K1308-SUM($M911:O911)))</f>
        <v>0</v>
      </c>
      <c r="Q911" s="57">
        <f>MAX(0,MIN($K911,$K1308-SUM($M911:P911)))</f>
        <v>0</v>
      </c>
      <c r="R911" s="57">
        <f>MAX(0,MIN($K911,$K1308-SUM($M911:Q911)))</f>
        <v>0</v>
      </c>
      <c r="S911" s="57">
        <f>MAX(0,MIN($K911,$K1308-SUM($M911:R911)))</f>
        <v>0</v>
      </c>
      <c r="T911" s="57">
        <f>MAX(0,MIN($K911,$K1308-SUM($M911:S911)))</f>
        <v>0</v>
      </c>
      <c r="U911" s="57">
        <f>MAX(0,MIN($K911,$K1308-SUM($M911:T911)))</f>
        <v>0</v>
      </c>
      <c r="V911" s="57">
        <f>MAX(0,MIN($K911,$K1308-SUM($M911:U911)))</f>
        <v>0</v>
      </c>
    </row>
    <row r="912" spans="1:22" s="35" customFormat="1" ht="13.5" customHeight="1" outlineLevel="1">
      <c r="B912" s="38" t="str">
        <f t="shared" si="1067"/>
        <v>[Debt 8]</v>
      </c>
      <c r="C912" s="38"/>
      <c r="D912" s="38"/>
      <c r="E912" s="38"/>
      <c r="F912" s="38"/>
      <c r="G912" s="38"/>
      <c r="H912" s="38"/>
      <c r="I912" s="38"/>
      <c r="J912" s="38"/>
      <c r="K912" s="57">
        <f t="shared" si="1068"/>
        <v>0</v>
      </c>
      <c r="L912" s="38"/>
      <c r="M912" s="113">
        <f t="shared" si="1069"/>
        <v>0</v>
      </c>
      <c r="N912" s="57">
        <f>MAX(0,MIN($K912,$K1309-SUM($M912:M912)))</f>
        <v>0</v>
      </c>
      <c r="O912" s="57">
        <f>MAX(0,MIN($K912,$K1309-SUM($M912:N912)))</f>
        <v>0</v>
      </c>
      <c r="P912" s="57">
        <f>MAX(0,MIN($K912,$K1309-SUM($M912:O912)))</f>
        <v>0</v>
      </c>
      <c r="Q912" s="57">
        <f>MAX(0,MIN($K912,$K1309-SUM($M912:P912)))</f>
        <v>0</v>
      </c>
      <c r="R912" s="57">
        <f>MAX(0,MIN($K912,$K1309-SUM($M912:Q912)))</f>
        <v>0</v>
      </c>
      <c r="S912" s="57">
        <f>MAX(0,MIN($K912,$K1309-SUM($M912:R912)))</f>
        <v>0</v>
      </c>
      <c r="T912" s="57">
        <f>MAX(0,MIN($K912,$K1309-SUM($M912:S912)))</f>
        <v>0</v>
      </c>
      <c r="U912" s="57">
        <f>MAX(0,MIN($K912,$K1309-SUM($M912:T912)))</f>
        <v>0</v>
      </c>
      <c r="V912" s="57">
        <f>MAX(0,MIN($K912,$K1309-SUM($M912:U912)))</f>
        <v>0</v>
      </c>
    </row>
    <row r="913" spans="1:22" s="35" customFormat="1" ht="13.5" customHeight="1" outlineLevel="1">
      <c r="B913" s="38" t="str">
        <f t="shared" si="1067"/>
        <v>Preferred stock - A</v>
      </c>
      <c r="C913" s="38"/>
      <c r="D913" s="38"/>
      <c r="E913" s="38"/>
      <c r="F913" s="38"/>
      <c r="G913" s="38"/>
      <c r="H913" s="38"/>
      <c r="I913" s="38"/>
      <c r="J913" s="38"/>
      <c r="K913" s="57">
        <f t="shared" si="1068"/>
        <v>0</v>
      </c>
      <c r="L913" s="38"/>
      <c r="M913" s="113">
        <f t="shared" si="1069"/>
        <v>0</v>
      </c>
      <c r="N913" s="57">
        <f>MAX(0,MIN($K913,$K1310-SUM($M913:M913)))</f>
        <v>0</v>
      </c>
      <c r="O913" s="57">
        <f>MAX(0,MIN($K913,$K1310-SUM($M913:N913)))</f>
        <v>0</v>
      </c>
      <c r="P913" s="57">
        <f>MAX(0,MIN($K913,$K1310-SUM($M913:O913)))</f>
        <v>0</v>
      </c>
      <c r="Q913" s="57">
        <f>MAX(0,MIN($K913,$K1310-SUM($M913:P913)))</f>
        <v>0</v>
      </c>
      <c r="R913" s="57">
        <f>MAX(0,MIN($K913,$K1310-SUM($M913:Q913)))</f>
        <v>0</v>
      </c>
      <c r="S913" s="57">
        <f>MAX(0,MIN($K913,$K1310-SUM($M913:R913)))</f>
        <v>0</v>
      </c>
      <c r="T913" s="57">
        <f>MAX(0,MIN($K913,$K1310-SUM($M913:S913)))</f>
        <v>0</v>
      </c>
      <c r="U913" s="57">
        <f>MAX(0,MIN($K913,$K1310-SUM($M913:T913)))</f>
        <v>0</v>
      </c>
      <c r="V913" s="57">
        <f>MAX(0,MIN($K913,$K1310-SUM($M913:U913)))</f>
        <v>0</v>
      </c>
    </row>
    <row r="914" spans="1:22" s="35" customFormat="1" ht="13.5" customHeight="1" outlineLevel="1">
      <c r="B914" s="38" t="str">
        <f t="shared" si="1067"/>
        <v>Preferred stock - B</v>
      </c>
      <c r="C914" s="38"/>
      <c r="D914" s="38"/>
      <c r="E914" s="38"/>
      <c r="F914" s="38"/>
      <c r="G914" s="38"/>
      <c r="H914" s="38"/>
      <c r="I914" s="38"/>
      <c r="J914" s="38"/>
      <c r="K914" s="57">
        <f t="shared" si="1068"/>
        <v>0</v>
      </c>
      <c r="L914" s="38"/>
      <c r="M914" s="113">
        <f t="shared" si="1069"/>
        <v>0</v>
      </c>
      <c r="N914" s="57">
        <f>MAX(0,MIN($K914,$K1311-SUM($M914:M914)))</f>
        <v>0</v>
      </c>
      <c r="O914" s="57">
        <f>MAX(0,MIN($K914,$K1311-SUM($M914:N914)))</f>
        <v>0</v>
      </c>
      <c r="P914" s="57">
        <f>MAX(0,MIN($K914,$K1311-SUM($M914:O914)))</f>
        <v>0</v>
      </c>
      <c r="Q914" s="57">
        <f>MAX(0,MIN($K914,$K1311-SUM($M914:P914)))</f>
        <v>0</v>
      </c>
      <c r="R914" s="57">
        <f>MAX(0,MIN($K914,$K1311-SUM($M914:Q914)))</f>
        <v>0</v>
      </c>
      <c r="S914" s="57">
        <f>MAX(0,MIN($K914,$K1311-SUM($M914:R914)))</f>
        <v>0</v>
      </c>
      <c r="T914" s="57">
        <f>MAX(0,MIN($K914,$K1311-SUM($M914:S914)))</f>
        <v>0</v>
      </c>
      <c r="U914" s="57">
        <f>MAX(0,MIN($K914,$K1311-SUM($M914:T914)))</f>
        <v>0</v>
      </c>
      <c r="V914" s="57">
        <f>MAX(0,MIN($K914,$K1311-SUM($M914:U914)))</f>
        <v>0</v>
      </c>
    </row>
    <row r="915" spans="1:22" s="35" customFormat="1" ht="13.5" customHeight="1" outlineLevel="1">
      <c r="B915" s="81" t="s">
        <v>236</v>
      </c>
      <c r="C915" s="81"/>
      <c r="D915" s="81"/>
      <c r="E915" s="81"/>
      <c r="F915" s="81"/>
      <c r="G915" s="81"/>
      <c r="H915" s="81"/>
      <c r="I915" s="81"/>
      <c r="J915" s="81"/>
      <c r="K915" s="81"/>
      <c r="L915" s="81"/>
      <c r="M915" s="305">
        <f ca="1">SUM(M904:OFFSET(M915,-1,0))</f>
        <v>0.81428571428571439</v>
      </c>
      <c r="N915" s="305">
        <f ca="1">SUM(N904:OFFSET(N915,-1,0))</f>
        <v>1.0857142857142856</v>
      </c>
      <c r="O915" s="305">
        <f ca="1">SUM(O904:OFFSET(O915,-1,0))</f>
        <v>1.0857142857142856</v>
      </c>
      <c r="P915" s="305">
        <f ca="1">SUM(P904:OFFSET(P915,-1,0))</f>
        <v>1.0857142857142856</v>
      </c>
      <c r="Q915" s="305">
        <f ca="1">SUM(Q904:OFFSET(Q915,-1,0))</f>
        <v>1.0857142857142856</v>
      </c>
      <c r="R915" s="305">
        <f ca="1">SUM(R904:OFFSET(R915,-1,0))</f>
        <v>0.67321428571428565</v>
      </c>
      <c r="S915" s="305">
        <f ca="1">SUM(S904:OFFSET(S915,-1,0))</f>
        <v>0.5357142857142857</v>
      </c>
      <c r="T915" s="305">
        <f ca="1">SUM(T904:OFFSET(T915,-1,0))</f>
        <v>0.13392857142857162</v>
      </c>
      <c r="U915" s="305">
        <f ca="1">SUM(U904:OFFSET(U915,-1,0))</f>
        <v>0</v>
      </c>
      <c r="V915" s="305">
        <f ca="1">SUM(V904:OFFSET(V915,-1,0))</f>
        <v>0</v>
      </c>
    </row>
    <row r="916" spans="1:22" s="35" customFormat="1" ht="5.0999999999999996" customHeight="1" outlineLevel="1" thickBot="1">
      <c r="B916" s="121"/>
      <c r="C916" s="121"/>
      <c r="D916" s="121"/>
      <c r="E916" s="121"/>
      <c r="F916" s="121"/>
      <c r="G916" s="121"/>
      <c r="H916" s="121"/>
      <c r="I916" s="121"/>
      <c r="J916" s="121"/>
      <c r="K916" s="121"/>
      <c r="L916" s="121"/>
      <c r="M916" s="121"/>
      <c r="N916" s="121"/>
      <c r="O916" s="121"/>
      <c r="P916" s="121"/>
      <c r="Q916" s="121"/>
      <c r="R916" s="121"/>
      <c r="S916" s="121"/>
      <c r="T916" s="121"/>
      <c r="U916" s="121"/>
      <c r="V916" s="121"/>
    </row>
    <row r="917" spans="1:22" ht="13.5" customHeight="1" outlineLevel="1"/>
    <row r="918" spans="1:22" ht="13.5" customHeight="1" outlineLevel="1" thickBot="1"/>
    <row r="919" spans="1:22" s="35" customFormat="1" ht="20.100000000000001" customHeight="1" thickTop="1">
      <c r="A919" s="41" t="s">
        <v>426</v>
      </c>
      <c r="B919" s="42" t="s">
        <v>571</v>
      </c>
      <c r="C919" s="43"/>
      <c r="D919" s="44"/>
      <c r="E919" s="44"/>
      <c r="F919" s="44"/>
      <c r="G919" s="44"/>
      <c r="H919" s="44"/>
      <c r="I919" s="44"/>
      <c r="J919" s="44"/>
      <c r="K919" s="44"/>
      <c r="L919" s="44"/>
      <c r="M919" s="44"/>
      <c r="N919" s="44"/>
      <c r="O919" s="44"/>
      <c r="P919" s="44"/>
      <c r="Q919" s="44"/>
      <c r="R919" s="44"/>
      <c r="S919" s="44"/>
      <c r="T919" s="44"/>
      <c r="U919" s="44"/>
      <c r="V919" s="44"/>
    </row>
    <row r="920" spans="1:22" s="35" customFormat="1" outlineLevel="1">
      <c r="B920" s="154"/>
      <c r="V920" s="155" t="str">
        <f ca="1">err_msg</f>
        <v/>
      </c>
    </row>
    <row r="921" spans="1:22" s="203" customFormat="1" ht="13.5" customHeight="1" outlineLevel="1">
      <c r="F921" s="204"/>
      <c r="G921" s="204"/>
      <c r="H921" s="204"/>
      <c r="I921" s="204"/>
      <c r="L921" s="261"/>
      <c r="M921" s="126" t="str">
        <f>M$144</f>
        <v>3 Quarters</v>
      </c>
      <c r="N921" s="205" t="str">
        <f>N$144</f>
        <v>Fiscal Years Ending September 30,</v>
      </c>
      <c r="O921" s="205"/>
      <c r="P921" s="205"/>
      <c r="Q921" s="205"/>
      <c r="R921" s="205"/>
      <c r="S921" s="205"/>
      <c r="T921" s="205"/>
      <c r="U921" s="205"/>
      <c r="V921" s="205"/>
    </row>
    <row r="922" spans="1:22" s="203" customFormat="1" outlineLevel="1">
      <c r="F922" s="265"/>
      <c r="G922" s="265"/>
      <c r="H922" s="265"/>
      <c r="I922" s="265"/>
      <c r="L922" s="109" t="s">
        <v>241</v>
      </c>
      <c r="M922" s="109" t="str">
        <f t="shared" ref="M922" si="1070">M$145</f>
        <v>Ending</v>
      </c>
      <c r="N922" s="109">
        <f>N$145</f>
        <v>2</v>
      </c>
      <c r="O922" s="109">
        <f t="shared" ref="O922:V922" si="1071">O$145</f>
        <v>3</v>
      </c>
      <c r="P922" s="109">
        <f t="shared" si="1071"/>
        <v>4</v>
      </c>
      <c r="Q922" s="109">
        <f t="shared" si="1071"/>
        <v>5</v>
      </c>
      <c r="R922" s="109">
        <f t="shared" si="1071"/>
        <v>6</v>
      </c>
      <c r="S922" s="109">
        <f t="shared" si="1071"/>
        <v>7</v>
      </c>
      <c r="T922" s="109">
        <f t="shared" si="1071"/>
        <v>8</v>
      </c>
      <c r="U922" s="109">
        <f t="shared" si="1071"/>
        <v>9</v>
      </c>
      <c r="V922" s="109">
        <f t="shared" si="1071"/>
        <v>10</v>
      </c>
    </row>
    <row r="923" spans="1:22" s="203" customFormat="1" ht="13.5" customHeight="1" outlineLevel="1" thickBot="1">
      <c r="B923" s="130" t="s">
        <v>246</v>
      </c>
      <c r="C923" s="208"/>
      <c r="D923" s="208"/>
      <c r="E923" s="208"/>
      <c r="F923" s="266"/>
      <c r="G923" s="266"/>
      <c r="H923" s="266"/>
      <c r="I923" s="266"/>
      <c r="J923" s="208"/>
      <c r="K923" s="208"/>
      <c r="L923" s="209">
        <f>close</f>
        <v>45291</v>
      </c>
      <c r="M923" s="209">
        <f t="shared" ref="M923" si="1072">M$146</f>
        <v>45565</v>
      </c>
      <c r="N923" s="211">
        <f>N$146</f>
        <v>45930</v>
      </c>
      <c r="O923" s="211">
        <f t="shared" ref="O923:V923" si="1073">O$146</f>
        <v>46295</v>
      </c>
      <c r="P923" s="211">
        <f t="shared" si="1073"/>
        <v>46660</v>
      </c>
      <c r="Q923" s="211">
        <f t="shared" si="1073"/>
        <v>47026</v>
      </c>
      <c r="R923" s="211">
        <f t="shared" si="1073"/>
        <v>47391</v>
      </c>
      <c r="S923" s="211">
        <f t="shared" si="1073"/>
        <v>47756</v>
      </c>
      <c r="T923" s="211">
        <f t="shared" si="1073"/>
        <v>48121</v>
      </c>
      <c r="U923" s="211">
        <f t="shared" si="1073"/>
        <v>48487</v>
      </c>
      <c r="V923" s="211">
        <f t="shared" si="1073"/>
        <v>48852</v>
      </c>
    </row>
    <row r="924" spans="1:22" ht="5.0999999999999996" customHeight="1" outlineLevel="1">
      <c r="M924" s="290"/>
      <c r="N924" s="306"/>
      <c r="O924" s="306"/>
      <c r="P924" s="306"/>
      <c r="Q924" s="306"/>
      <c r="R924" s="306"/>
      <c r="S924" s="306"/>
      <c r="T924" s="306"/>
      <c r="U924" s="306"/>
      <c r="V924" s="306"/>
    </row>
    <row r="925" spans="1:22" s="35" customFormat="1" ht="13.5" customHeight="1" outlineLevel="1">
      <c r="B925" s="46" t="s">
        <v>87</v>
      </c>
      <c r="C925" s="47"/>
      <c r="D925" s="47"/>
      <c r="E925" s="47"/>
      <c r="F925" s="47"/>
      <c r="G925" s="47"/>
      <c r="H925" s="47"/>
      <c r="I925" s="47"/>
      <c r="J925" s="47"/>
      <c r="K925" s="47"/>
      <c r="L925" s="47"/>
      <c r="M925" s="47"/>
      <c r="N925" s="47"/>
      <c r="O925" s="47"/>
      <c r="P925" s="47"/>
      <c r="Q925" s="47"/>
      <c r="R925" s="47"/>
      <c r="S925" s="47"/>
      <c r="T925" s="47"/>
      <c r="U925" s="47"/>
      <c r="V925" s="48"/>
    </row>
    <row r="926" spans="1:22" s="35" customFormat="1" ht="5.0999999999999996" customHeight="1" outlineLevel="1"/>
    <row r="927" spans="1:22" ht="13.5" customHeight="1" outlineLevel="1">
      <c r="B927" s="38" t="s">
        <v>174</v>
      </c>
      <c r="M927" s="54">
        <f t="shared" ref="M927:V927" ca="1" si="1074">M205</f>
        <v>12.750000000000002</v>
      </c>
      <c r="N927" s="54">
        <f t="shared" ca="1" si="1074"/>
        <v>18</v>
      </c>
      <c r="O927" s="54">
        <f t="shared" ca="1" si="1074"/>
        <v>18.999999999999996</v>
      </c>
      <c r="P927" s="54">
        <f t="shared" ca="1" si="1074"/>
        <v>19.169606801275233</v>
      </c>
      <c r="Q927" s="54">
        <f t="shared" ca="1" si="1074"/>
        <v>19.340727627131464</v>
      </c>
      <c r="R927" s="54">
        <f t="shared" ca="1" si="1074"/>
        <v>19.513375992772165</v>
      </c>
      <c r="S927" s="54">
        <f t="shared" ca="1" si="1074"/>
        <v>19.687565534046644</v>
      </c>
      <c r="T927" s="54">
        <f t="shared" ca="1" si="1074"/>
        <v>19.863310008526977</v>
      </c>
      <c r="U927" s="54">
        <f t="shared" ca="1" si="1074"/>
        <v>20.040623296594589</v>
      </c>
      <c r="V927" s="54">
        <f t="shared" ca="1" si="1074"/>
        <v>20.219519402536559</v>
      </c>
    </row>
    <row r="928" spans="1:22" ht="13.5" customHeight="1" outlineLevel="1">
      <c r="B928" s="38" t="s">
        <v>238</v>
      </c>
      <c r="M928" s="509">
        <v>7</v>
      </c>
      <c r="N928" s="83">
        <f>M928</f>
        <v>7</v>
      </c>
      <c r="O928" s="83">
        <f t="shared" ref="O928:V928" si="1075">N928</f>
        <v>7</v>
      </c>
      <c r="P928" s="83">
        <f t="shared" si="1075"/>
        <v>7</v>
      </c>
      <c r="Q928" s="83">
        <f t="shared" si="1075"/>
        <v>7</v>
      </c>
      <c r="R928" s="83">
        <f t="shared" si="1075"/>
        <v>7</v>
      </c>
      <c r="S928" s="83">
        <f t="shared" si="1075"/>
        <v>7</v>
      </c>
      <c r="T928" s="83">
        <f t="shared" si="1075"/>
        <v>7</v>
      </c>
      <c r="U928" s="83">
        <f t="shared" si="1075"/>
        <v>7</v>
      </c>
      <c r="V928" s="83">
        <f t="shared" si="1075"/>
        <v>7</v>
      </c>
    </row>
    <row r="929" spans="2:22" ht="13.5" customHeight="1" outlineLevel="1">
      <c r="B929" s="38" t="s">
        <v>239</v>
      </c>
      <c r="M929" s="508">
        <v>0</v>
      </c>
      <c r="N929" s="84">
        <f>M929</f>
        <v>0</v>
      </c>
      <c r="O929" s="84">
        <f t="shared" ref="O929:V929" si="1076">N929</f>
        <v>0</v>
      </c>
      <c r="P929" s="84">
        <f t="shared" si="1076"/>
        <v>0</v>
      </c>
      <c r="Q929" s="84">
        <f t="shared" si="1076"/>
        <v>0</v>
      </c>
      <c r="R929" s="84">
        <f t="shared" si="1076"/>
        <v>0</v>
      </c>
      <c r="S929" s="84">
        <f t="shared" si="1076"/>
        <v>0</v>
      </c>
      <c r="T929" s="84">
        <f t="shared" si="1076"/>
        <v>0</v>
      </c>
      <c r="U929" s="84">
        <f t="shared" si="1076"/>
        <v>0</v>
      </c>
      <c r="V929" s="84">
        <f t="shared" si="1076"/>
        <v>0</v>
      </c>
    </row>
    <row r="930" spans="2:22" ht="13.5" customHeight="1" outlineLevel="1"/>
    <row r="931" spans="2:22" ht="13.5" customHeight="1" outlineLevel="1">
      <c r="B931" s="143" t="s">
        <v>242</v>
      </c>
      <c r="K931" s="307"/>
    </row>
    <row r="932" spans="2:22" ht="13.5" customHeight="1" outlineLevel="1">
      <c r="B932" s="308" t="str">
        <f t="array" ref="B932:B941">TRANSPOSE(TEXT(M923:V923,"yyyy"))</f>
        <v>2024</v>
      </c>
      <c r="K932" s="309"/>
      <c r="M932" s="136">
        <f ca="1">IFERROR(MIN(SLN($M927,$M929,$M928)*M$148,$M927-SUM($L932:L932)),0)</f>
        <v>1.3660714285714288</v>
      </c>
      <c r="N932" s="136">
        <f ca="1">IFERROR(MIN(SLN($M927,$M929,$M928)*N$148,$M927-SUM($L932:M932)),0)</f>
        <v>1.8214285714285716</v>
      </c>
      <c r="O932" s="136">
        <f ca="1">IFERROR(MIN(SLN($M927,$M929,$M928)*O$148,$M927-SUM($L932:N932)),0)</f>
        <v>1.8214285714285716</v>
      </c>
      <c r="P932" s="136">
        <f ca="1">IFERROR(MIN(SLN($M927,$M929,$M928)*P$148,$M927-SUM($L932:O932)),0)</f>
        <v>1.8214285714285716</v>
      </c>
      <c r="Q932" s="136">
        <f ca="1">IFERROR(MIN(SLN($M927,$M929,$M928)*Q$148,$M927-SUM($L932:P932)),0)</f>
        <v>1.8214285714285716</v>
      </c>
      <c r="R932" s="136">
        <f ca="1">IFERROR(MIN(SLN($M927,$M929,$M928)*R$148,$M927-SUM($L932:Q932)),0)</f>
        <v>1.8214285714285716</v>
      </c>
      <c r="S932" s="136">
        <f ca="1">IFERROR(MIN(SLN($M927,$M929,$M928)*S$148,$M927-SUM($L932:R932)),0)</f>
        <v>1.8214285714285716</v>
      </c>
      <c r="T932" s="136">
        <f ca="1">IFERROR(MIN(SLN($M927,$M929,$M928)*T$148,$M927-SUM($L932:S932)),0)</f>
        <v>0.45535714285714413</v>
      </c>
      <c r="U932" s="136">
        <f ca="1">IFERROR(MIN(SLN($M927,$M929,$M928)*U$148,$M927-SUM($L932:T932)),0)</f>
        <v>0</v>
      </c>
      <c r="V932" s="136">
        <f ca="1">IFERROR(MIN(SLN($M927,$M929,$M928)*V$148,$M927-SUM($L932:U932)),0)</f>
        <v>0</v>
      </c>
    </row>
    <row r="933" spans="2:22" ht="13.5" customHeight="1" outlineLevel="1">
      <c r="B933" s="308" t="str">
        <v>2025</v>
      </c>
      <c r="K933" s="310"/>
      <c r="M933" s="311"/>
      <c r="N933" s="312">
        <f ca="1">IFERROR(MIN(SLN($N927,$N929,$N928)*N$148,$N927-SUM($L933:M933)),0)</f>
        <v>2.5714285714285716</v>
      </c>
      <c r="O933" s="312">
        <f ca="1">IFERROR(MIN(SLN($N927,$N929,$N928)*O$148,$N927-SUM($L933:N933)),0)</f>
        <v>2.5714285714285716</v>
      </c>
      <c r="P933" s="312">
        <f ca="1">IFERROR(MIN(SLN($N927,$N929,$N928)*P$148,$N927-SUM($L933:O933)),0)</f>
        <v>2.5714285714285716</v>
      </c>
      <c r="Q933" s="312">
        <f ca="1">IFERROR(MIN(SLN($N927,$N929,$N928)*Q$148,$N927-SUM($L933:P933)),0)</f>
        <v>2.5714285714285716</v>
      </c>
      <c r="R933" s="312">
        <f ca="1">IFERROR(MIN(SLN($N927,$N929,$N928)*R$148,$N927-SUM($L933:Q933)),0)</f>
        <v>2.5714285714285716</v>
      </c>
      <c r="S933" s="312">
        <f ca="1">IFERROR(MIN(SLN($N927,$N929,$N928)*S$148,$N927-SUM($L933:R933)),0)</f>
        <v>2.5714285714285716</v>
      </c>
      <c r="T933" s="312">
        <f ca="1">IFERROR(MIN(SLN($N927,$N929,$N928)*T$148,$N927-SUM($L933:S933)),0)</f>
        <v>2.5714285714285712</v>
      </c>
      <c r="U933" s="312">
        <f ca="1">IFERROR(MIN(SLN($N927,$N929,$N928)*U$148,$N927-SUM($L933:T933)),0)</f>
        <v>0</v>
      </c>
      <c r="V933" s="312">
        <f ca="1">IFERROR(MIN(SLN($N927,$N929,$N928)*V$148,$N927-SUM($L933:U933)),0)</f>
        <v>0</v>
      </c>
    </row>
    <row r="934" spans="2:22" ht="13.5" customHeight="1" outlineLevel="1">
      <c r="B934" s="308" t="str">
        <v>2026</v>
      </c>
      <c r="K934" s="310"/>
      <c r="M934" s="311"/>
      <c r="N934" s="311"/>
      <c r="O934" s="312">
        <f ca="1">IFERROR(MIN(SLN($O927,$O929,$O928)*O$148,$O927-SUM($L934:N934)),0)</f>
        <v>2.714285714285714</v>
      </c>
      <c r="P934" s="312">
        <f ca="1">IFERROR(MIN(SLN($O927,$O929,$O928)*P$148,$O927-SUM($L934:O934)),0)</f>
        <v>2.714285714285714</v>
      </c>
      <c r="Q934" s="312">
        <f ca="1">IFERROR(MIN(SLN($O927,$O929,$O928)*Q$148,$O927-SUM($L934:P934)),0)</f>
        <v>2.714285714285714</v>
      </c>
      <c r="R934" s="312">
        <f ca="1">IFERROR(MIN(SLN($O927,$O929,$O928)*R$148,$O927-SUM($L934:Q934)),0)</f>
        <v>2.714285714285714</v>
      </c>
      <c r="S934" s="312">
        <f ca="1">IFERROR(MIN(SLN($O927,$O929,$O928)*S$148,$O927-SUM($L934:R934)),0)</f>
        <v>2.714285714285714</v>
      </c>
      <c r="T934" s="312">
        <f ca="1">IFERROR(MIN(SLN($O927,$O929,$O928)*T$148,$O927-SUM($L934:S934)),0)</f>
        <v>2.714285714285714</v>
      </c>
      <c r="U934" s="312">
        <f ca="1">IFERROR(MIN(SLN($O927,$O929,$O928)*U$148,$O927-SUM($L934:T934)),0)</f>
        <v>2.7142857142857117</v>
      </c>
      <c r="V934" s="312">
        <f ca="1">IFERROR(MIN(SLN($O927,$O929,$O928)*V$148,$O927-SUM($L934:U934)),0)</f>
        <v>0</v>
      </c>
    </row>
    <row r="935" spans="2:22" ht="13.5" customHeight="1" outlineLevel="1">
      <c r="B935" s="308" t="str">
        <v>2027</v>
      </c>
      <c r="K935" s="310"/>
      <c r="M935" s="311"/>
      <c r="N935" s="311"/>
      <c r="O935" s="311"/>
      <c r="P935" s="312">
        <f ca="1">IFERROR(MIN(SLN($P927,$P929,$P928)*P$148,$P927-SUM($L935:O935)),0)</f>
        <v>2.7385152573250333</v>
      </c>
      <c r="Q935" s="312">
        <f ca="1">IFERROR(MIN(SLN($P927,$P929,$P928)*Q$148,$P927-SUM($L935:P935)),0)</f>
        <v>2.7385152573250333</v>
      </c>
      <c r="R935" s="312">
        <f ca="1">IFERROR(MIN(SLN($P927,$P929,$P928)*R$148,$P927-SUM($L935:Q935)),0)</f>
        <v>2.7385152573250333</v>
      </c>
      <c r="S935" s="312">
        <f ca="1">IFERROR(MIN(SLN($P927,$P929,$P928)*S$148,$P927-SUM($L935:R935)),0)</f>
        <v>2.7385152573250333</v>
      </c>
      <c r="T935" s="312">
        <f ca="1">IFERROR(MIN(SLN($P927,$P929,$P928)*T$148,$P927-SUM($L935:S935)),0)</f>
        <v>2.7385152573250333</v>
      </c>
      <c r="U935" s="312">
        <f ca="1">IFERROR(MIN(SLN($P927,$P929,$P928)*U$148,$P927-SUM($L935:T935)),0)</f>
        <v>2.7385152573250333</v>
      </c>
      <c r="V935" s="312">
        <f ca="1">IFERROR(MIN(SLN($P927,$P929,$P928)*V$148,$P927-SUM($L935:U935)),0)</f>
        <v>2.7385152573250333</v>
      </c>
    </row>
    <row r="936" spans="2:22" ht="13.5" customHeight="1" outlineLevel="1">
      <c r="B936" s="308" t="str">
        <v>2028</v>
      </c>
      <c r="I936" s="313"/>
      <c r="J936" s="314"/>
      <c r="K936" s="310"/>
      <c r="M936" s="311"/>
      <c r="N936" s="311"/>
      <c r="O936" s="311"/>
      <c r="P936" s="311"/>
      <c r="Q936" s="312">
        <f ca="1">IFERROR(MIN(SLN($Q927,$Q929,$Q928)*Q$148,$Q927-SUM($L936:P936)),0)</f>
        <v>2.7629610895902093</v>
      </c>
      <c r="R936" s="312">
        <f ca="1">IFERROR(MIN(SLN($Q927,$Q929,$Q928)*R$148,$Q927-SUM($L936:Q936)),0)</f>
        <v>2.7629610895902093</v>
      </c>
      <c r="S936" s="312">
        <f ca="1">IFERROR(MIN(SLN($Q927,$Q929,$Q928)*S$148,$Q927-SUM($L936:R936)),0)</f>
        <v>2.7629610895902093</v>
      </c>
      <c r="T936" s="312">
        <f ca="1">IFERROR(MIN(SLN($Q927,$Q929,$Q928)*T$148,$Q927-SUM($L936:S936)),0)</f>
        <v>2.7629610895902093</v>
      </c>
      <c r="U936" s="312">
        <f ca="1">IFERROR(MIN(SLN($Q927,$Q929,$Q928)*U$148,$Q927-SUM($L936:T936)),0)</f>
        <v>2.7629610895902093</v>
      </c>
      <c r="V936" s="312">
        <f ca="1">IFERROR(MIN(SLN($Q927,$Q929,$Q928)*V$148,$Q927-SUM($L936:U936)),0)</f>
        <v>2.7629610895902093</v>
      </c>
    </row>
    <row r="937" spans="2:22" ht="13.5" customHeight="1" outlineLevel="1">
      <c r="B937" s="308" t="str">
        <v>2029</v>
      </c>
      <c r="I937" s="313"/>
      <c r="J937" s="314"/>
      <c r="K937" s="310"/>
      <c r="M937" s="311"/>
      <c r="N937" s="311"/>
      <c r="O937" s="311"/>
      <c r="P937" s="311"/>
      <c r="Q937" s="311"/>
      <c r="R937" s="312">
        <f ca="1">IFERROR(MIN(SLN($R927,$R929,$R928)*R$148,$R927-SUM($L937:Q937)),0)</f>
        <v>2.787625141824595</v>
      </c>
      <c r="S937" s="312">
        <f ca="1">IFERROR(MIN(SLN($R927,$R929,$R928)*S$148,$R927-SUM($L937:R937)),0)</f>
        <v>2.787625141824595</v>
      </c>
      <c r="T937" s="312">
        <f ca="1">IFERROR(MIN(SLN($R927,$R929,$R928)*T$148,$R927-SUM($L937:S937)),0)</f>
        <v>2.787625141824595</v>
      </c>
      <c r="U937" s="312">
        <f ca="1">IFERROR(MIN(SLN($R927,$R929,$R928)*U$148,$R927-SUM($L937:T937)),0)</f>
        <v>2.787625141824595</v>
      </c>
      <c r="V937" s="312">
        <f ca="1">IFERROR(MIN(SLN($R927,$R929,$R928)*V$148,$R927-SUM($L937:U937)),0)</f>
        <v>2.787625141824595</v>
      </c>
    </row>
    <row r="938" spans="2:22" ht="13.5" customHeight="1" outlineLevel="1">
      <c r="B938" s="308" t="str">
        <v>2030</v>
      </c>
      <c r="I938" s="313"/>
      <c r="J938" s="314"/>
      <c r="K938" s="310"/>
      <c r="M938" s="311"/>
      <c r="N938" s="311"/>
      <c r="O938" s="311"/>
      <c r="P938" s="311"/>
      <c r="Q938" s="311"/>
      <c r="R938" s="311"/>
      <c r="S938" s="312">
        <f ca="1">IFERROR(MIN(SLN($S927,$S929,$S928)*S$148,$S927-SUM($L938:R938)),0)</f>
        <v>2.8125093620066637</v>
      </c>
      <c r="T938" s="312">
        <f ca="1">IFERROR(MIN(SLN($S927,$S929,$S928)*T$148,$S927-SUM($L938:S938)),0)</f>
        <v>2.8125093620066637</v>
      </c>
      <c r="U938" s="312">
        <f ca="1">IFERROR(MIN(SLN($S927,$S929,$S928)*U$148,$S927-SUM($L938:T938)),0)</f>
        <v>2.8125093620066637</v>
      </c>
      <c r="V938" s="312">
        <f ca="1">IFERROR(MIN(SLN($S927,$S929,$S928)*V$148,$S927-SUM($L938:U938)),0)</f>
        <v>2.8125093620066637</v>
      </c>
    </row>
    <row r="939" spans="2:22" ht="13.5" customHeight="1" outlineLevel="1">
      <c r="B939" s="308" t="str">
        <v>2031</v>
      </c>
      <c r="I939" s="313"/>
      <c r="J939" s="314"/>
      <c r="K939" s="310"/>
      <c r="M939" s="311"/>
      <c r="N939" s="311"/>
      <c r="O939" s="311"/>
      <c r="P939" s="311"/>
      <c r="Q939" s="311"/>
      <c r="R939" s="311"/>
      <c r="S939" s="311"/>
      <c r="T939" s="312">
        <f ca="1">IFERROR(MIN(SLN($T927,$T929,$T928)*T$148,$T927-SUM($L939:S939)),0)</f>
        <v>2.8376157155038539</v>
      </c>
      <c r="U939" s="312">
        <f ca="1">IFERROR(MIN(SLN($T927,$T929,$T928)*U$148,$T927-SUM($L939:T939)),0)</f>
        <v>2.8376157155038539</v>
      </c>
      <c r="V939" s="312">
        <f ca="1">IFERROR(MIN(SLN($T927,$T929,$T928)*V$148,$T927-SUM($L939:U939)),0)</f>
        <v>2.8376157155038539</v>
      </c>
    </row>
    <row r="940" spans="2:22" ht="13.5" customHeight="1" outlineLevel="1">
      <c r="B940" s="308" t="str">
        <v>2032</v>
      </c>
      <c r="I940" s="313"/>
      <c r="J940" s="314"/>
      <c r="K940" s="310"/>
      <c r="M940" s="311"/>
      <c r="N940" s="311"/>
      <c r="O940" s="311"/>
      <c r="P940" s="311"/>
      <c r="Q940" s="311"/>
      <c r="R940" s="311"/>
      <c r="S940" s="311"/>
      <c r="T940" s="311"/>
      <c r="U940" s="312">
        <f ca="1">IFERROR(MIN(SLN($U927,$U929,$U928)*U$148,$U927-SUM($L940:T940)),0)</f>
        <v>2.8629461852277984</v>
      </c>
      <c r="V940" s="312">
        <f ca="1">IFERROR(MIN(SLN($U927,$U929,$U928)*V$148,$U927-SUM($L940:U940)),0)</f>
        <v>2.8629461852277984</v>
      </c>
    </row>
    <row r="941" spans="2:22" ht="13.5" customHeight="1" outlineLevel="1">
      <c r="B941" s="308" t="str">
        <v>2033</v>
      </c>
      <c r="I941" s="313"/>
      <c r="J941" s="314"/>
      <c r="K941" s="310"/>
      <c r="M941" s="311"/>
      <c r="N941" s="311"/>
      <c r="O941" s="311"/>
      <c r="P941" s="311"/>
      <c r="Q941" s="311"/>
      <c r="R941" s="311"/>
      <c r="S941" s="311"/>
      <c r="T941" s="311"/>
      <c r="U941" s="311"/>
      <c r="V941" s="312">
        <f ca="1">IFERROR(MIN(SLN($V927,$V929,$V928)*V$148,$V927-SUM($L941:U941)),0)</f>
        <v>2.8885027717909368</v>
      </c>
    </row>
    <row r="942" spans="2:22" ht="13.5" customHeight="1" outlineLevel="1">
      <c r="B942" s="52" t="s">
        <v>244</v>
      </c>
      <c r="C942" s="52"/>
      <c r="D942" s="52"/>
      <c r="E942" s="52"/>
      <c r="F942" s="52"/>
      <c r="G942" s="52"/>
      <c r="H942" s="52"/>
      <c r="I942" s="52"/>
      <c r="J942" s="52"/>
      <c r="K942" s="52"/>
      <c r="L942" s="52"/>
      <c r="M942" s="315">
        <f t="shared" ref="M942:V942" ca="1" si="1077">SUM(M932:M941)</f>
        <v>1.3660714285714288</v>
      </c>
      <c r="N942" s="315">
        <f t="shared" ca="1" si="1077"/>
        <v>4.3928571428571432</v>
      </c>
      <c r="O942" s="315">
        <f t="shared" ca="1" si="1077"/>
        <v>7.1071428571428577</v>
      </c>
      <c r="P942" s="315">
        <f t="shared" ca="1" si="1077"/>
        <v>9.8456581144678914</v>
      </c>
      <c r="Q942" s="315">
        <f t="shared" ca="1" si="1077"/>
        <v>12.608619204058101</v>
      </c>
      <c r="R942" s="315">
        <f t="shared" ca="1" si="1077"/>
        <v>15.396244345882696</v>
      </c>
      <c r="S942" s="315">
        <f t="shared" ca="1" si="1077"/>
        <v>18.208753707889361</v>
      </c>
      <c r="T942" s="315">
        <f t="shared" ca="1" si="1077"/>
        <v>19.680297994821785</v>
      </c>
      <c r="U942" s="315">
        <f t="shared" ca="1" si="1077"/>
        <v>19.516458465763865</v>
      </c>
      <c r="V942" s="315">
        <f t="shared" ca="1" si="1077"/>
        <v>19.690675523269089</v>
      </c>
    </row>
    <row r="943" spans="2:22" ht="13.5" customHeight="1" outlineLevel="1"/>
    <row r="944" spans="2:22" s="35" customFormat="1" ht="13.5" customHeight="1" outlineLevel="1">
      <c r="B944" s="46" t="s">
        <v>387</v>
      </c>
      <c r="C944" s="47"/>
      <c r="D944" s="47"/>
      <c r="E944" s="47"/>
      <c r="F944" s="47"/>
      <c r="G944" s="47"/>
      <c r="H944" s="47"/>
      <c r="I944" s="47"/>
      <c r="J944" s="47"/>
      <c r="K944" s="47"/>
      <c r="L944" s="47"/>
      <c r="M944" s="47"/>
      <c r="N944" s="47"/>
      <c r="O944" s="47"/>
      <c r="P944" s="47"/>
      <c r="Q944" s="47"/>
      <c r="R944" s="47"/>
      <c r="S944" s="47"/>
      <c r="T944" s="47"/>
      <c r="U944" s="47"/>
      <c r="V944" s="48"/>
    </row>
    <row r="945" spans="2:22" ht="5.0999999999999996" customHeight="1" outlineLevel="1"/>
    <row r="946" spans="2:22" ht="13.5" customHeight="1" outlineLevel="1">
      <c r="B946" s="38" t="str">
        <f>B45&amp;" depreciation period (yrs)"</f>
        <v>PP&amp;E depreciation period (yrs)</v>
      </c>
      <c r="L946" s="83">
        <f>K45</f>
        <v>7</v>
      </c>
    </row>
    <row r="947" spans="2:22" ht="13.5" customHeight="1" outlineLevel="1">
      <c r="B947" s="38" t="str">
        <f>B45&amp;" depreciation / accretion schedule"</f>
        <v>PP&amp;E depreciation / accretion schedule</v>
      </c>
      <c r="M947" s="58">
        <f>MIN(M$148*1/$L946,1-SUM($L947:L947))</f>
        <v>0.10714285714285714</v>
      </c>
      <c r="N947" s="58">
        <f>MIN(N$148*1/$L946,1-SUM($L947:M947))</f>
        <v>0.14285714285714285</v>
      </c>
      <c r="O947" s="58">
        <f>MIN(O$148*1/$L946,1-SUM($L947:N947))</f>
        <v>0.14285714285714285</v>
      </c>
      <c r="P947" s="58">
        <f>MIN(P$148*1/$L946,1-SUM($L947:O947))</f>
        <v>0.14285714285714285</v>
      </c>
      <c r="Q947" s="58">
        <f>MIN(Q$148*1/$L946,1-SUM($L947:P947))</f>
        <v>0.14285714285714285</v>
      </c>
      <c r="R947" s="58">
        <f>MIN(R$148*1/$L946,1-SUM($L947:Q947))</f>
        <v>0.14285714285714285</v>
      </c>
      <c r="S947" s="58">
        <f>MIN(S$148*1/$L946,1-SUM($L947:R947))</f>
        <v>0.14285714285714285</v>
      </c>
      <c r="T947" s="58">
        <f>MIN(T$148*1/$L946,1-SUM($L947:S947))</f>
        <v>3.5714285714285809E-2</v>
      </c>
      <c r="U947" s="58">
        <f>MIN(U$148*1/$L946,1-SUM($L947:T947))</f>
        <v>0</v>
      </c>
      <c r="V947" s="58">
        <f>MIN(V$148*1/$L946,1-SUM($L947:U947))</f>
        <v>0</v>
      </c>
    </row>
    <row r="948" spans="2:22" s="80" customFormat="1" ht="13.5" customHeight="1" outlineLevel="1">
      <c r="M948" s="248"/>
      <c r="N948" s="248"/>
      <c r="O948" s="248"/>
      <c r="P948" s="248"/>
      <c r="Q948" s="248"/>
      <c r="R948" s="248"/>
      <c r="S948" s="248"/>
      <c r="T948" s="248"/>
      <c r="U948" s="248"/>
      <c r="V948" s="248"/>
    </row>
    <row r="949" spans="2:22" s="80" customFormat="1" ht="13.5" customHeight="1" outlineLevel="1">
      <c r="B949" s="38" t="str">
        <f>B45&amp;" write-up / (down) – beginning"</f>
        <v>PP&amp;E write-up / (down) – beginning</v>
      </c>
      <c r="M949" s="54">
        <f ca="1">L951</f>
        <v>15</v>
      </c>
      <c r="N949" s="54">
        <f t="shared" ref="N949:V949" ca="1" si="1078">M951</f>
        <v>13.392857142857142</v>
      </c>
      <c r="O949" s="54">
        <f t="shared" ca="1" si="1078"/>
        <v>11.25</v>
      </c>
      <c r="P949" s="54">
        <f t="shared" ca="1" si="1078"/>
        <v>9.1071428571428577</v>
      </c>
      <c r="Q949" s="54">
        <f t="shared" ca="1" si="1078"/>
        <v>6.9642857142857153</v>
      </c>
      <c r="R949" s="54">
        <f t="shared" ca="1" si="1078"/>
        <v>4.821428571428573</v>
      </c>
      <c r="S949" s="54">
        <f t="shared" ca="1" si="1078"/>
        <v>2.6785714285714302</v>
      </c>
      <c r="T949" s="54">
        <f t="shared" ca="1" si="1078"/>
        <v>0.53571428571428736</v>
      </c>
      <c r="U949" s="54">
        <f t="shared" ca="1" si="1078"/>
        <v>0</v>
      </c>
      <c r="V949" s="54">
        <f t="shared" ca="1" si="1078"/>
        <v>0</v>
      </c>
    </row>
    <row r="950" spans="2:22" s="80" customFormat="1" ht="13.5" customHeight="1" outlineLevel="1">
      <c r="B950" s="38" t="str">
        <f>"(Depreciation) / accretion of "&amp;B45&amp;" write-up / (down) – straight-line"</f>
        <v>(Depreciation) / accretion of PP&amp;E write-up / (down) – straight-line</v>
      </c>
      <c r="M950" s="57">
        <f ca="1">-$L951*M947</f>
        <v>-1.607142857142857</v>
      </c>
      <c r="N950" s="57">
        <f t="shared" ref="N950:V950" ca="1" si="1079">-$L951*N947</f>
        <v>-2.1428571428571428</v>
      </c>
      <c r="O950" s="57">
        <f t="shared" ca="1" si="1079"/>
        <v>-2.1428571428571428</v>
      </c>
      <c r="P950" s="57">
        <f t="shared" ca="1" si="1079"/>
        <v>-2.1428571428571428</v>
      </c>
      <c r="Q950" s="57">
        <f t="shared" ca="1" si="1079"/>
        <v>-2.1428571428571428</v>
      </c>
      <c r="R950" s="57">
        <f t="shared" ca="1" si="1079"/>
        <v>-2.1428571428571428</v>
      </c>
      <c r="S950" s="57">
        <f t="shared" ca="1" si="1079"/>
        <v>-2.1428571428571428</v>
      </c>
      <c r="T950" s="57">
        <f t="shared" ca="1" si="1079"/>
        <v>-0.53571428571428714</v>
      </c>
      <c r="U950" s="57">
        <f t="shared" ca="1" si="1079"/>
        <v>0</v>
      </c>
      <c r="V950" s="57">
        <f t="shared" ca="1" si="1079"/>
        <v>0</v>
      </c>
    </row>
    <row r="951" spans="2:22" s="80" customFormat="1" ht="13.5" customHeight="1" outlineLevel="1">
      <c r="B951" s="52" t="str">
        <f>B45&amp;" write-up / (down) – ending"</f>
        <v>PP&amp;E write-up / (down) – ending</v>
      </c>
      <c r="C951" s="167"/>
      <c r="D951" s="167"/>
      <c r="E951" s="167"/>
      <c r="F951" s="167"/>
      <c r="G951" s="167"/>
      <c r="H951" s="167"/>
      <c r="I951" s="167"/>
      <c r="J951" s="167"/>
      <c r="K951" s="167"/>
      <c r="L951" s="316">
        <f ca="1">H45</f>
        <v>15</v>
      </c>
      <c r="M951" s="67">
        <f ca="1">SUM(M949:M950)</f>
        <v>13.392857142857142</v>
      </c>
      <c r="N951" s="67">
        <f t="shared" ref="N951:V951" ca="1" si="1080">SUM(N949:N950)</f>
        <v>11.25</v>
      </c>
      <c r="O951" s="67">
        <f t="shared" ca="1" si="1080"/>
        <v>9.1071428571428577</v>
      </c>
      <c r="P951" s="67">
        <f t="shared" ca="1" si="1080"/>
        <v>6.9642857142857153</v>
      </c>
      <c r="Q951" s="67">
        <f t="shared" ca="1" si="1080"/>
        <v>4.821428571428573</v>
      </c>
      <c r="R951" s="67">
        <f t="shared" ca="1" si="1080"/>
        <v>2.6785714285714302</v>
      </c>
      <c r="S951" s="67">
        <f t="shared" ca="1" si="1080"/>
        <v>0.53571428571428736</v>
      </c>
      <c r="T951" s="67">
        <f t="shared" ca="1" si="1080"/>
        <v>0</v>
      </c>
      <c r="U951" s="67">
        <f t="shared" ca="1" si="1080"/>
        <v>0</v>
      </c>
      <c r="V951" s="67">
        <f t="shared" ca="1" si="1080"/>
        <v>0</v>
      </c>
    </row>
    <row r="952" spans="2:22" ht="13.5" customHeight="1" outlineLevel="1"/>
    <row r="953" spans="2:22" s="35" customFormat="1" ht="13.5" customHeight="1" outlineLevel="1">
      <c r="B953" s="46" t="s">
        <v>386</v>
      </c>
      <c r="C953" s="47"/>
      <c r="D953" s="47"/>
      <c r="E953" s="47"/>
      <c r="F953" s="47"/>
      <c r="G953" s="47"/>
      <c r="H953" s="47"/>
      <c r="I953" s="47"/>
      <c r="J953" s="47"/>
      <c r="K953" s="47"/>
      <c r="L953" s="47"/>
      <c r="M953" s="47"/>
      <c r="N953" s="47"/>
      <c r="O953" s="47"/>
      <c r="P953" s="47"/>
      <c r="Q953" s="47"/>
      <c r="R953" s="47"/>
      <c r="S953" s="47"/>
      <c r="T953" s="47"/>
      <c r="U953" s="47"/>
      <c r="V953" s="48"/>
    </row>
    <row r="954" spans="2:22" ht="5.0999999999999996" customHeight="1" outlineLevel="1"/>
    <row r="955" spans="2:22" ht="13.5" customHeight="1" outlineLevel="1">
      <c r="B955" s="38" t="s">
        <v>243</v>
      </c>
      <c r="K955" s="80"/>
      <c r="M955" s="54">
        <f ca="1">M957-M956</f>
        <v>9.2089285714285705</v>
      </c>
      <c r="N955" s="54">
        <f t="shared" ref="N955:V955" ca="1" si="1081">N957-N956</f>
        <v>9.7071428571428555</v>
      </c>
      <c r="O955" s="54">
        <f t="shared" ca="1" si="1081"/>
        <v>6.9928571428571402</v>
      </c>
      <c r="P955" s="54">
        <f t="shared" ca="1" si="1081"/>
        <v>4.3802079854258338</v>
      </c>
      <c r="Q955" s="54">
        <f t="shared" ca="1" si="1081"/>
        <v>1.7442365613394575</v>
      </c>
      <c r="R955" s="54">
        <f t="shared" ca="1" si="1081"/>
        <v>-0.9152653196675633</v>
      </c>
      <c r="S955" s="54">
        <f t="shared" ca="1" si="1081"/>
        <v>-3.5985077063073767</v>
      </c>
      <c r="T955" s="54">
        <f t="shared" ca="1" si="1081"/>
        <v>-4.9396310937570309</v>
      </c>
      <c r="U955" s="54">
        <f t="shared" ca="1" si="1081"/>
        <v>-4.6442064403963013</v>
      </c>
      <c r="V955" s="54">
        <f t="shared" ca="1" si="1081"/>
        <v>-4.6856637561235388</v>
      </c>
    </row>
    <row r="956" spans="2:22" ht="13.5" customHeight="1" outlineLevel="1">
      <c r="B956" s="38" t="s">
        <v>377</v>
      </c>
      <c r="K956" s="80"/>
      <c r="M956" s="217">
        <f ca="1">M942</f>
        <v>1.3660714285714288</v>
      </c>
      <c r="N956" s="217">
        <f t="shared" ref="N956:V956" ca="1" si="1082">N942</f>
        <v>4.3928571428571432</v>
      </c>
      <c r="O956" s="217">
        <f t="shared" ca="1" si="1082"/>
        <v>7.1071428571428577</v>
      </c>
      <c r="P956" s="217">
        <f t="shared" ca="1" si="1082"/>
        <v>9.8456581144678914</v>
      </c>
      <c r="Q956" s="217">
        <f t="shared" ca="1" si="1082"/>
        <v>12.608619204058101</v>
      </c>
      <c r="R956" s="217">
        <f t="shared" ca="1" si="1082"/>
        <v>15.396244345882696</v>
      </c>
      <c r="S956" s="217">
        <f t="shared" ca="1" si="1082"/>
        <v>18.208753707889361</v>
      </c>
      <c r="T956" s="217">
        <f t="shared" ca="1" si="1082"/>
        <v>19.680297994821785</v>
      </c>
      <c r="U956" s="217">
        <f t="shared" ca="1" si="1082"/>
        <v>19.516458465763865</v>
      </c>
      <c r="V956" s="217">
        <f t="shared" ca="1" si="1082"/>
        <v>19.690675523269089</v>
      </c>
    </row>
    <row r="957" spans="2:22" ht="13.5" customHeight="1" outlineLevel="1">
      <c r="B957" s="52" t="s">
        <v>378</v>
      </c>
      <c r="C957" s="52"/>
      <c r="D957" s="52"/>
      <c r="E957" s="52"/>
      <c r="F957" s="52"/>
      <c r="G957" s="52"/>
      <c r="H957" s="52"/>
      <c r="I957" s="52"/>
      <c r="J957" s="52"/>
      <c r="K957" s="167"/>
      <c r="L957" s="52"/>
      <c r="M957" s="165">
        <f ca="1">M150*M1215</f>
        <v>10.574999999999999</v>
      </c>
      <c r="N957" s="165">
        <f t="shared" ref="N957:V957" ca="1" si="1083">N150*N1215*N148</f>
        <v>14.1</v>
      </c>
      <c r="O957" s="165">
        <f t="shared" ca="1" si="1083"/>
        <v>14.099999999999998</v>
      </c>
      <c r="P957" s="165">
        <f t="shared" ca="1" si="1083"/>
        <v>14.225866099893725</v>
      </c>
      <c r="Q957" s="165">
        <f t="shared" ca="1" si="1083"/>
        <v>14.352855765397559</v>
      </c>
      <c r="R957" s="165">
        <f t="shared" ca="1" si="1083"/>
        <v>14.480979026215133</v>
      </c>
      <c r="S957" s="165">
        <f t="shared" ca="1" si="1083"/>
        <v>14.610246001581984</v>
      </c>
      <c r="T957" s="165">
        <f t="shared" ca="1" si="1083"/>
        <v>14.740666901064754</v>
      </c>
      <c r="U957" s="165">
        <f t="shared" ca="1" si="1083"/>
        <v>14.872252025367564</v>
      </c>
      <c r="V957" s="165">
        <f t="shared" ca="1" si="1083"/>
        <v>15.00501176714555</v>
      </c>
    </row>
    <row r="958" spans="2:22" ht="13.5" customHeight="1" outlineLevel="1">
      <c r="B958" s="38" t="s">
        <v>389</v>
      </c>
      <c r="K958" s="80"/>
      <c r="M958" s="217">
        <f t="shared" ref="M958:V958" ca="1" si="1084">-M950</f>
        <v>1.607142857142857</v>
      </c>
      <c r="N958" s="217">
        <f t="shared" ca="1" si="1084"/>
        <v>2.1428571428571428</v>
      </c>
      <c r="O958" s="217">
        <f t="shared" ca="1" si="1084"/>
        <v>2.1428571428571428</v>
      </c>
      <c r="P958" s="217">
        <f t="shared" ca="1" si="1084"/>
        <v>2.1428571428571428</v>
      </c>
      <c r="Q958" s="217">
        <f t="shared" ca="1" si="1084"/>
        <v>2.1428571428571428</v>
      </c>
      <c r="R958" s="217">
        <f t="shared" ca="1" si="1084"/>
        <v>2.1428571428571428</v>
      </c>
      <c r="S958" s="217">
        <f t="shared" ca="1" si="1084"/>
        <v>2.1428571428571428</v>
      </c>
      <c r="T958" s="217">
        <f t="shared" ca="1" si="1084"/>
        <v>0.53571428571428714</v>
      </c>
      <c r="U958" s="217">
        <f t="shared" ca="1" si="1084"/>
        <v>0</v>
      </c>
      <c r="V958" s="217">
        <f t="shared" ca="1" si="1084"/>
        <v>0</v>
      </c>
    </row>
    <row r="959" spans="2:22" s="80" customFormat="1" ht="13.5" customHeight="1" outlineLevel="1">
      <c r="B959" s="104" t="s">
        <v>379</v>
      </c>
      <c r="C959" s="104"/>
      <c r="D959" s="104"/>
      <c r="E959" s="104"/>
      <c r="F959" s="104"/>
      <c r="G959" s="104"/>
      <c r="H959" s="104"/>
      <c r="I959" s="104"/>
      <c r="J959" s="104"/>
      <c r="K959" s="104"/>
      <c r="L959" s="105"/>
      <c r="M959" s="105">
        <f ca="1">SUM(M957:M958)</f>
        <v>12.182142857142857</v>
      </c>
      <c r="N959" s="105">
        <f t="shared" ref="N959:V959" ca="1" si="1085">SUM(N957:N958)</f>
        <v>16.242857142857144</v>
      </c>
      <c r="O959" s="105">
        <f t="shared" ca="1" si="1085"/>
        <v>16.24285714285714</v>
      </c>
      <c r="P959" s="105">
        <f t="shared" ca="1" si="1085"/>
        <v>16.368723242750868</v>
      </c>
      <c r="Q959" s="105">
        <f t="shared" ca="1" si="1085"/>
        <v>16.495712908254703</v>
      </c>
      <c r="R959" s="105">
        <f t="shared" ca="1" si="1085"/>
        <v>16.623836169072277</v>
      </c>
      <c r="S959" s="105">
        <f t="shared" ca="1" si="1085"/>
        <v>16.753103144439127</v>
      </c>
      <c r="T959" s="105">
        <f t="shared" ca="1" si="1085"/>
        <v>15.276381186779041</v>
      </c>
      <c r="U959" s="105">
        <f t="shared" ca="1" si="1085"/>
        <v>14.872252025367564</v>
      </c>
      <c r="V959" s="105">
        <f t="shared" ca="1" si="1085"/>
        <v>15.00501176714555</v>
      </c>
    </row>
    <row r="960" spans="2:22" ht="5.0999999999999996" customHeight="1" outlineLevel="1" thickBot="1">
      <c r="B960" s="152"/>
      <c r="C960" s="152"/>
      <c r="D960" s="233"/>
      <c r="E960" s="233"/>
      <c r="F960" s="234"/>
      <c r="G960" s="234"/>
      <c r="H960" s="234"/>
      <c r="I960" s="234"/>
      <c r="J960" s="233"/>
      <c r="K960" s="234"/>
      <c r="L960" s="233"/>
      <c r="M960" s="234"/>
      <c r="N960" s="234"/>
      <c r="O960" s="234"/>
      <c r="P960" s="234"/>
      <c r="Q960" s="234"/>
      <c r="R960" s="234"/>
      <c r="S960" s="234"/>
      <c r="T960" s="234"/>
      <c r="U960" s="234"/>
      <c r="V960" s="234"/>
    </row>
    <row r="961" spans="1:22" ht="13.5" customHeight="1" outlineLevel="1"/>
    <row r="962" spans="1:22" ht="13.5" customHeight="1" outlineLevel="1" thickBot="1">
      <c r="L962" s="317"/>
      <c r="M962" s="317"/>
      <c r="N962" s="317"/>
      <c r="O962" s="317"/>
      <c r="P962" s="317"/>
      <c r="Q962" s="317"/>
      <c r="R962" s="317"/>
      <c r="S962" s="317"/>
      <c r="T962" s="317"/>
      <c r="U962" s="317"/>
    </row>
    <row r="963" spans="1:22" s="35" customFormat="1" ht="20.100000000000001" customHeight="1" thickTop="1">
      <c r="A963" s="41" t="s">
        <v>426</v>
      </c>
      <c r="B963" s="42" t="s">
        <v>572</v>
      </c>
      <c r="C963" s="43"/>
      <c r="D963" s="44"/>
      <c r="E963" s="44"/>
      <c r="F963" s="44"/>
      <c r="G963" s="44"/>
      <c r="H963" s="44"/>
      <c r="I963" s="44"/>
      <c r="J963" s="44"/>
      <c r="K963" s="44"/>
      <c r="L963" s="44"/>
      <c r="M963" s="44"/>
      <c r="N963" s="44"/>
      <c r="O963" s="44"/>
      <c r="P963" s="44"/>
      <c r="Q963" s="44"/>
      <c r="R963" s="44"/>
      <c r="S963" s="44"/>
      <c r="T963" s="44"/>
      <c r="U963" s="44"/>
      <c r="V963" s="44"/>
    </row>
    <row r="964" spans="1:22" outlineLevel="1">
      <c r="B964" s="45"/>
      <c r="V964" s="122" t="str">
        <f ca="1">err_msg</f>
        <v/>
      </c>
    </row>
    <row r="965" spans="1:22" s="203" customFormat="1" ht="13.5" customHeight="1" outlineLevel="1">
      <c r="F965" s="204"/>
      <c r="G965" s="204"/>
      <c r="H965" s="204"/>
      <c r="I965" s="204"/>
      <c r="L965" s="261"/>
      <c r="M965" s="126" t="str">
        <f>M$144</f>
        <v>3 Quarters</v>
      </c>
      <c r="N965" s="205" t="str">
        <f>N$144</f>
        <v>Fiscal Years Ending September 30,</v>
      </c>
      <c r="O965" s="205"/>
      <c r="P965" s="205"/>
      <c r="Q965" s="205"/>
      <c r="R965" s="205"/>
      <c r="S965" s="205"/>
      <c r="T965" s="205"/>
      <c r="U965" s="205"/>
      <c r="V965" s="205"/>
    </row>
    <row r="966" spans="1:22" s="203" customFormat="1" outlineLevel="1">
      <c r="F966" s="265"/>
      <c r="G966" s="265"/>
      <c r="H966" s="265"/>
      <c r="I966" s="265"/>
      <c r="L966" s="109" t="s">
        <v>241</v>
      </c>
      <c r="M966" s="109" t="str">
        <f t="shared" ref="M966" si="1086">M$145</f>
        <v>Ending</v>
      </c>
      <c r="N966" s="109">
        <f>N$145</f>
        <v>2</v>
      </c>
      <c r="O966" s="109">
        <f t="shared" ref="O966:V966" si="1087">O$145</f>
        <v>3</v>
      </c>
      <c r="P966" s="109">
        <f t="shared" si="1087"/>
        <v>4</v>
      </c>
      <c r="Q966" s="109">
        <f t="shared" si="1087"/>
        <v>5</v>
      </c>
      <c r="R966" s="109">
        <f t="shared" si="1087"/>
        <v>6</v>
      </c>
      <c r="S966" s="109">
        <f t="shared" si="1087"/>
        <v>7</v>
      </c>
      <c r="T966" s="109">
        <f t="shared" si="1087"/>
        <v>8</v>
      </c>
      <c r="U966" s="109">
        <f t="shared" si="1087"/>
        <v>9</v>
      </c>
      <c r="V966" s="109">
        <f t="shared" si="1087"/>
        <v>10</v>
      </c>
    </row>
    <row r="967" spans="1:22" s="203" customFormat="1" ht="13.5" customHeight="1" outlineLevel="1" thickBot="1">
      <c r="B967" s="130" t="s">
        <v>246</v>
      </c>
      <c r="C967" s="208"/>
      <c r="D967" s="208"/>
      <c r="E967" s="208"/>
      <c r="F967" s="266"/>
      <c r="G967" s="266"/>
      <c r="H967" s="266"/>
      <c r="I967" s="266"/>
      <c r="J967" s="208"/>
      <c r="K967" s="208"/>
      <c r="L967" s="209">
        <f>close</f>
        <v>45291</v>
      </c>
      <c r="M967" s="209">
        <f t="shared" ref="M967" si="1088">M$146</f>
        <v>45565</v>
      </c>
      <c r="N967" s="211">
        <f>N$146</f>
        <v>45930</v>
      </c>
      <c r="O967" s="211">
        <f t="shared" ref="O967:V967" si="1089">O$146</f>
        <v>46295</v>
      </c>
      <c r="P967" s="211">
        <f t="shared" si="1089"/>
        <v>46660</v>
      </c>
      <c r="Q967" s="211">
        <f t="shared" si="1089"/>
        <v>47026</v>
      </c>
      <c r="R967" s="211">
        <f t="shared" si="1089"/>
        <v>47391</v>
      </c>
      <c r="S967" s="211">
        <f t="shared" si="1089"/>
        <v>47756</v>
      </c>
      <c r="T967" s="211">
        <f t="shared" si="1089"/>
        <v>48121</v>
      </c>
      <c r="U967" s="211">
        <f t="shared" si="1089"/>
        <v>48487</v>
      </c>
      <c r="V967" s="211">
        <f t="shared" si="1089"/>
        <v>48852</v>
      </c>
    </row>
    <row r="968" spans="1:22" ht="5.0999999999999996" customHeight="1" outlineLevel="1">
      <c r="M968" s="290"/>
      <c r="N968" s="306"/>
      <c r="O968" s="306"/>
      <c r="P968" s="306"/>
      <c r="Q968" s="306"/>
      <c r="R968" s="306"/>
      <c r="S968" s="306"/>
      <c r="T968" s="306"/>
      <c r="U968" s="306"/>
      <c r="V968" s="306"/>
    </row>
    <row r="969" spans="1:22" s="35" customFormat="1" ht="13.5" customHeight="1" outlineLevel="1">
      <c r="B969" s="46" t="s">
        <v>388</v>
      </c>
      <c r="C969" s="47"/>
      <c r="D969" s="47"/>
      <c r="E969" s="47"/>
      <c r="F969" s="47"/>
      <c r="G969" s="47"/>
      <c r="H969" s="47"/>
      <c r="I969" s="47"/>
      <c r="J969" s="47"/>
      <c r="K969" s="47"/>
      <c r="L969" s="47"/>
      <c r="M969" s="47"/>
      <c r="N969" s="47"/>
      <c r="O969" s="47"/>
      <c r="P969" s="47"/>
      <c r="Q969" s="47"/>
      <c r="R969" s="47"/>
      <c r="S969" s="47"/>
      <c r="T969" s="47"/>
      <c r="U969" s="47"/>
      <c r="V969" s="48"/>
    </row>
    <row r="970" spans="1:22" ht="5.0999999999999996" customHeight="1" outlineLevel="1"/>
    <row r="971" spans="1:22" ht="13.5" customHeight="1" outlineLevel="1">
      <c r="B971" s="38" t="s">
        <v>308</v>
      </c>
      <c r="L971" s="83">
        <f>K46</f>
        <v>5</v>
      </c>
    </row>
    <row r="972" spans="1:22" ht="13.5" customHeight="1" outlineLevel="1">
      <c r="B972" s="38" t="s">
        <v>307</v>
      </c>
      <c r="M972" s="58">
        <f>MIN(M$148*1/$L971,1-SUM($L972:L972))</f>
        <v>0.15</v>
      </c>
      <c r="N972" s="58">
        <f>MIN(N$148*1/$L971,1-SUM($L972:M972))</f>
        <v>0.2</v>
      </c>
      <c r="O972" s="58">
        <f>MIN(O$148*1/$L971,1-SUM($L972:N972))</f>
        <v>0.2</v>
      </c>
      <c r="P972" s="58">
        <f>MIN(P$148*1/$L971,1-SUM($L972:O972))</f>
        <v>0.2</v>
      </c>
      <c r="Q972" s="58">
        <f>MIN(Q$148*1/$L971,1-SUM($L972:P972))</f>
        <v>0.2</v>
      </c>
      <c r="R972" s="58">
        <f>MIN(R$148*1/$L971,1-SUM($L972:Q972))</f>
        <v>5.0000000000000044E-2</v>
      </c>
      <c r="S972" s="58">
        <f>MIN(S$148*1/$L971,1-SUM($L972:R972))</f>
        <v>0</v>
      </c>
      <c r="T972" s="58">
        <f>MIN(T$148*1/$L971,1-SUM($L972:S972))</f>
        <v>0</v>
      </c>
      <c r="U972" s="58">
        <f>MIN(U$148*1/$L971,1-SUM($L972:T972))</f>
        <v>0</v>
      </c>
      <c r="V972" s="58">
        <f>MIN(V$148*1/$L971,1-SUM($L972:U972))</f>
        <v>0</v>
      </c>
    </row>
    <row r="973" spans="1:22" ht="13.5" customHeight="1" outlineLevel="1">
      <c r="M973" s="58"/>
      <c r="N973" s="58"/>
      <c r="O973" s="58"/>
      <c r="P973" s="58"/>
      <c r="Q973" s="58"/>
      <c r="R973" s="58"/>
      <c r="S973" s="58"/>
      <c r="T973" s="58"/>
      <c r="U973" s="58"/>
      <c r="V973" s="58"/>
    </row>
    <row r="974" spans="1:22" s="80" customFormat="1" ht="13.5" customHeight="1" outlineLevel="1">
      <c r="B974" s="38" t="s">
        <v>384</v>
      </c>
      <c r="M974" s="136">
        <f ca="1">L976</f>
        <v>109.45535088906249</v>
      </c>
      <c r="N974" s="136">
        <f t="shared" ref="N974:V974" ca="1" si="1090">M976</f>
        <v>93.037048255703112</v>
      </c>
      <c r="O974" s="136">
        <f t="shared" ca="1" si="1090"/>
        <v>71.145978077890618</v>
      </c>
      <c r="P974" s="136">
        <f t="shared" ca="1" si="1090"/>
        <v>49.254907900078123</v>
      </c>
      <c r="Q974" s="136">
        <f t="shared" ca="1" si="1090"/>
        <v>27.363837722265625</v>
      </c>
      <c r="R974" s="136">
        <f t="shared" ca="1" si="1090"/>
        <v>5.4727675444531272</v>
      </c>
      <c r="S974" s="136">
        <f t="shared" ca="1" si="1090"/>
        <v>0</v>
      </c>
      <c r="T974" s="136">
        <f t="shared" ca="1" si="1090"/>
        <v>0</v>
      </c>
      <c r="U974" s="136">
        <f t="shared" ca="1" si="1090"/>
        <v>0</v>
      </c>
      <c r="V974" s="136">
        <f t="shared" ca="1" si="1090"/>
        <v>0</v>
      </c>
    </row>
    <row r="975" spans="1:22" s="80" customFormat="1" ht="13.5" customHeight="1" outlineLevel="1">
      <c r="B975" s="38" t="s">
        <v>423</v>
      </c>
      <c r="M975" s="137">
        <f t="shared" ref="M975:V975" ca="1" si="1091">-$L976*M972</f>
        <v>-16.418302633359371</v>
      </c>
      <c r="N975" s="137">
        <f t="shared" ca="1" si="1091"/>
        <v>-21.891070177812498</v>
      </c>
      <c r="O975" s="137">
        <f t="shared" ca="1" si="1091"/>
        <v>-21.891070177812498</v>
      </c>
      <c r="P975" s="137">
        <f t="shared" ca="1" si="1091"/>
        <v>-21.891070177812498</v>
      </c>
      <c r="Q975" s="137">
        <f t="shared" ca="1" si="1091"/>
        <v>-21.891070177812498</v>
      </c>
      <c r="R975" s="137">
        <f t="shared" ca="1" si="1091"/>
        <v>-5.472767544453129</v>
      </c>
      <c r="S975" s="137">
        <f t="shared" ca="1" si="1091"/>
        <v>0</v>
      </c>
      <c r="T975" s="137">
        <f t="shared" ca="1" si="1091"/>
        <v>0</v>
      </c>
      <c r="U975" s="137">
        <f t="shared" ca="1" si="1091"/>
        <v>0</v>
      </c>
      <c r="V975" s="137">
        <f t="shared" ca="1" si="1091"/>
        <v>0</v>
      </c>
    </row>
    <row r="976" spans="1:22" s="80" customFormat="1" ht="13.5" customHeight="1" outlineLevel="1">
      <c r="B976" s="52" t="s">
        <v>385</v>
      </c>
      <c r="C976" s="167"/>
      <c r="D976" s="167"/>
      <c r="E976" s="167"/>
      <c r="F976" s="167"/>
      <c r="G976" s="167"/>
      <c r="H976" s="167"/>
      <c r="I976" s="167"/>
      <c r="J976" s="167"/>
      <c r="K976" s="167"/>
      <c r="L976" s="316">
        <f ca="1">H46</f>
        <v>109.45535088906249</v>
      </c>
      <c r="M976" s="318">
        <f ca="1">SUM(M974:M975)</f>
        <v>93.037048255703112</v>
      </c>
      <c r="N976" s="318">
        <f t="shared" ref="N976" ca="1" si="1092">SUM(N974:N975)</f>
        <v>71.145978077890618</v>
      </c>
      <c r="O976" s="318">
        <f t="shared" ref="O976" ca="1" si="1093">SUM(O974:O975)</f>
        <v>49.254907900078123</v>
      </c>
      <c r="P976" s="318">
        <f t="shared" ref="P976" ca="1" si="1094">SUM(P974:P975)</f>
        <v>27.363837722265625</v>
      </c>
      <c r="Q976" s="318">
        <f t="shared" ref="Q976" ca="1" si="1095">SUM(Q974:Q975)</f>
        <v>5.4727675444531272</v>
      </c>
      <c r="R976" s="318">
        <f t="shared" ref="R976" ca="1" si="1096">SUM(R974:R975)</f>
        <v>0</v>
      </c>
      <c r="S976" s="318">
        <f t="shared" ref="S976" ca="1" si="1097">SUM(S974:S975)</f>
        <v>0</v>
      </c>
      <c r="T976" s="318">
        <f t="shared" ref="T976" ca="1" si="1098">SUM(T974:T975)</f>
        <v>0</v>
      </c>
      <c r="U976" s="318">
        <f t="shared" ref="U976" ca="1" si="1099">SUM(U974:U975)</f>
        <v>0</v>
      </c>
      <c r="V976" s="318">
        <f t="shared" ref="V976" ca="1" si="1100">SUM(V974:V975)</f>
        <v>0</v>
      </c>
    </row>
    <row r="977" spans="1:22" s="35" customFormat="1" ht="13.5" customHeight="1" outlineLevel="1"/>
    <row r="978" spans="1:22" s="35" customFormat="1" ht="13.5" customHeight="1" outlineLevel="1">
      <c r="B978" s="46" t="s">
        <v>383</v>
      </c>
      <c r="C978" s="47"/>
      <c r="D978" s="47"/>
      <c r="E978" s="47"/>
      <c r="F978" s="47"/>
      <c r="G978" s="47"/>
      <c r="H978" s="47"/>
      <c r="I978" s="47"/>
      <c r="J978" s="47"/>
      <c r="K978" s="47"/>
      <c r="L978" s="47"/>
      <c r="M978" s="47"/>
      <c r="N978" s="47"/>
      <c r="O978" s="47"/>
      <c r="P978" s="47"/>
      <c r="Q978" s="47"/>
      <c r="R978" s="47"/>
      <c r="S978" s="47"/>
      <c r="T978" s="47"/>
      <c r="U978" s="47"/>
      <c r="V978" s="48"/>
    </row>
    <row r="979" spans="1:22" ht="5.0999999999999996" customHeight="1" outlineLevel="1"/>
    <row r="980" spans="1:22" ht="13.5" customHeight="1" outlineLevel="1">
      <c r="B980" s="38" t="s">
        <v>380</v>
      </c>
      <c r="K980" s="80"/>
      <c r="M980" s="54">
        <f t="shared" ref="M980:V980" ca="1" si="1101">M150*M1222</f>
        <v>14.924999999999999</v>
      </c>
      <c r="N980" s="54">
        <f t="shared" ca="1" si="1101"/>
        <v>20</v>
      </c>
      <c r="O980" s="54">
        <f t="shared" ca="1" si="1101"/>
        <v>19.999999999999996</v>
      </c>
      <c r="P980" s="54">
        <f t="shared" ca="1" si="1101"/>
        <v>20.178533475026562</v>
      </c>
      <c r="Q980" s="54">
        <f t="shared" ca="1" si="1101"/>
        <v>20.35866066013838</v>
      </c>
      <c r="R980" s="54">
        <f t="shared" ca="1" si="1101"/>
        <v>20.540395781865438</v>
      </c>
      <c r="S980" s="54">
        <f t="shared" ca="1" si="1101"/>
        <v>20.723753193733309</v>
      </c>
      <c r="T980" s="54">
        <f t="shared" ca="1" si="1101"/>
        <v>20.908747377396814</v>
      </c>
      <c r="U980" s="54">
        <f t="shared" ca="1" si="1101"/>
        <v>21.095392943783779</v>
      </c>
      <c r="V980" s="54">
        <f t="shared" ca="1" si="1101"/>
        <v>21.283704634249009</v>
      </c>
    </row>
    <row r="981" spans="1:22" ht="13.5" customHeight="1" outlineLevel="1">
      <c r="B981" s="38" t="s">
        <v>390</v>
      </c>
      <c r="K981" s="80"/>
      <c r="M981" s="217">
        <f t="shared" ref="M981:V981" ca="1" si="1102">-M975</f>
        <v>16.418302633359371</v>
      </c>
      <c r="N981" s="217">
        <f t="shared" ca="1" si="1102"/>
        <v>21.891070177812498</v>
      </c>
      <c r="O981" s="217">
        <f t="shared" ca="1" si="1102"/>
        <v>21.891070177812498</v>
      </c>
      <c r="P981" s="217">
        <f t="shared" ca="1" si="1102"/>
        <v>21.891070177812498</v>
      </c>
      <c r="Q981" s="217">
        <f t="shared" ca="1" si="1102"/>
        <v>21.891070177812498</v>
      </c>
      <c r="R981" s="217">
        <f t="shared" ca="1" si="1102"/>
        <v>5.472767544453129</v>
      </c>
      <c r="S981" s="217">
        <f t="shared" ca="1" si="1102"/>
        <v>0</v>
      </c>
      <c r="T981" s="217">
        <f t="shared" ca="1" si="1102"/>
        <v>0</v>
      </c>
      <c r="U981" s="217">
        <f t="shared" ca="1" si="1102"/>
        <v>0</v>
      </c>
      <c r="V981" s="217">
        <f t="shared" ca="1" si="1102"/>
        <v>0</v>
      </c>
    </row>
    <row r="982" spans="1:22" s="80" customFormat="1" ht="13.5" customHeight="1" outlineLevel="1">
      <c r="B982" s="104" t="s">
        <v>381</v>
      </c>
      <c r="C982" s="104"/>
      <c r="D982" s="104"/>
      <c r="E982" s="104"/>
      <c r="F982" s="104"/>
      <c r="G982" s="104"/>
      <c r="H982" s="104"/>
      <c r="I982" s="104"/>
      <c r="J982" s="104"/>
      <c r="K982" s="104"/>
      <c r="L982" s="105"/>
      <c r="M982" s="105">
        <f ca="1">SUM(M980:M981)</f>
        <v>31.343302633359372</v>
      </c>
      <c r="N982" s="105">
        <f t="shared" ref="N982:V982" ca="1" si="1103">SUM(N980:N981)</f>
        <v>41.891070177812495</v>
      </c>
      <c r="O982" s="105">
        <f t="shared" ca="1" si="1103"/>
        <v>41.891070177812495</v>
      </c>
      <c r="P982" s="105">
        <f t="shared" ca="1" si="1103"/>
        <v>42.069603652839064</v>
      </c>
      <c r="Q982" s="105">
        <f t="shared" ca="1" si="1103"/>
        <v>42.249730837950878</v>
      </c>
      <c r="R982" s="105">
        <f t="shared" ca="1" si="1103"/>
        <v>26.013163326318569</v>
      </c>
      <c r="S982" s="105">
        <f t="shared" ca="1" si="1103"/>
        <v>20.723753193733309</v>
      </c>
      <c r="T982" s="105">
        <f t="shared" ca="1" si="1103"/>
        <v>20.908747377396814</v>
      </c>
      <c r="U982" s="105">
        <f t="shared" ca="1" si="1103"/>
        <v>21.095392943783779</v>
      </c>
      <c r="V982" s="105">
        <f t="shared" ca="1" si="1103"/>
        <v>21.283704634249009</v>
      </c>
    </row>
    <row r="983" spans="1:22" s="35" customFormat="1" ht="5.0999999999999996" customHeight="1" outlineLevel="1" thickBot="1">
      <c r="B983" s="121"/>
      <c r="C983" s="121"/>
      <c r="D983" s="233"/>
      <c r="E983" s="233"/>
      <c r="F983" s="234"/>
      <c r="G983" s="234"/>
      <c r="H983" s="234"/>
      <c r="I983" s="234"/>
      <c r="J983" s="233"/>
      <c r="K983" s="234"/>
      <c r="L983" s="233"/>
      <c r="M983" s="234"/>
      <c r="N983" s="234"/>
      <c r="O983" s="234"/>
      <c r="P983" s="234"/>
      <c r="Q983" s="234"/>
      <c r="R983" s="234"/>
      <c r="S983" s="234"/>
      <c r="T983" s="234"/>
      <c r="U983" s="234"/>
      <c r="V983" s="234"/>
    </row>
    <row r="984" spans="1:22" s="35" customFormat="1" ht="13.5" customHeight="1" outlineLevel="1"/>
    <row r="985" spans="1:22" s="35" customFormat="1" ht="13.5" customHeight="1" outlineLevel="1" thickBot="1"/>
    <row r="986" spans="1:22" s="35" customFormat="1" ht="20.100000000000001" customHeight="1" thickTop="1">
      <c r="A986" s="41" t="s">
        <v>426</v>
      </c>
      <c r="B986" s="42" t="s">
        <v>313</v>
      </c>
      <c r="C986" s="43"/>
      <c r="D986" s="44"/>
      <c r="E986" s="44"/>
      <c r="F986" s="44"/>
      <c r="G986" s="44"/>
      <c r="H986" s="44"/>
      <c r="I986" s="44"/>
      <c r="J986" s="44"/>
      <c r="K986" s="44"/>
      <c r="L986" s="44"/>
      <c r="M986" s="44"/>
      <c r="N986" s="44"/>
      <c r="O986" s="44"/>
      <c r="P986" s="44"/>
      <c r="Q986" s="44"/>
      <c r="R986" s="44"/>
      <c r="S986" s="44"/>
      <c r="T986" s="44"/>
      <c r="U986" s="44"/>
      <c r="V986" s="44"/>
    </row>
    <row r="987" spans="1:22" s="35" customFormat="1" ht="13.5" customHeight="1" outlineLevel="1">
      <c r="B987" s="45"/>
      <c r="V987" s="155" t="str">
        <f ca="1">err_msg</f>
        <v/>
      </c>
    </row>
    <row r="988" spans="1:22" s="203" customFormat="1" ht="13.5" customHeight="1" outlineLevel="1">
      <c r="E988" s="205" t="s">
        <v>72</v>
      </c>
      <c r="F988" s="205" t="s">
        <v>196</v>
      </c>
      <c r="G988" s="205"/>
      <c r="H988" s="205"/>
      <c r="I988" s="205"/>
      <c r="J988" s="206" t="s">
        <v>194</v>
      </c>
      <c r="K988" s="205"/>
      <c r="L988" s="126" t="s">
        <v>23</v>
      </c>
      <c r="M988" s="126" t="str">
        <f>M$144</f>
        <v>3 Quarters</v>
      </c>
      <c r="N988" s="205" t="str">
        <f>N$144</f>
        <v>Fiscal Years Ending September 30,</v>
      </c>
      <c r="O988" s="205"/>
      <c r="P988" s="205"/>
      <c r="Q988" s="205"/>
      <c r="R988" s="205"/>
      <c r="S988" s="205"/>
      <c r="T988" s="205"/>
      <c r="U988" s="205"/>
      <c r="V988" s="205"/>
    </row>
    <row r="989" spans="1:22" s="203" customFormat="1" outlineLevel="1">
      <c r="E989" s="109" t="str">
        <f>E$145</f>
        <v>MRQ</v>
      </c>
      <c r="F989" s="109" t="str">
        <f>F$145</f>
        <v>MRQ+1</v>
      </c>
      <c r="G989" s="109" t="str">
        <f t="shared" ref="G989:I989" si="1104">G$145</f>
        <v>MRQ+2</v>
      </c>
      <c r="H989" s="109" t="str">
        <f t="shared" si="1104"/>
        <v>MRQ+3</v>
      </c>
      <c r="I989" s="109" t="str">
        <f t="shared" si="1104"/>
        <v>MRQ+4</v>
      </c>
      <c r="J989" s="126" t="s">
        <v>195</v>
      </c>
      <c r="K989" s="206" t="s">
        <v>606</v>
      </c>
      <c r="L989" s="126" t="s">
        <v>195</v>
      </c>
      <c r="M989" s="109" t="str">
        <f t="shared" ref="M989" si="1105">M$145</f>
        <v>Ending</v>
      </c>
      <c r="N989" s="109">
        <f>N$145</f>
        <v>2</v>
      </c>
      <c r="O989" s="109">
        <f t="shared" ref="O989:V989" si="1106">O$145</f>
        <v>3</v>
      </c>
      <c r="P989" s="109">
        <f t="shared" si="1106"/>
        <v>4</v>
      </c>
      <c r="Q989" s="109">
        <f t="shared" si="1106"/>
        <v>5</v>
      </c>
      <c r="R989" s="109">
        <f t="shared" si="1106"/>
        <v>6</v>
      </c>
      <c r="S989" s="109">
        <f t="shared" si="1106"/>
        <v>7</v>
      </c>
      <c r="T989" s="109">
        <f t="shared" si="1106"/>
        <v>8</v>
      </c>
      <c r="U989" s="109">
        <f t="shared" si="1106"/>
        <v>9</v>
      </c>
      <c r="V989" s="109">
        <f t="shared" si="1106"/>
        <v>10</v>
      </c>
    </row>
    <row r="990" spans="1:22" s="203" customFormat="1" ht="13.5" customHeight="1" outlineLevel="1" thickBot="1">
      <c r="B990" s="130" t="s">
        <v>246</v>
      </c>
      <c r="C990" s="208"/>
      <c r="D990" s="208"/>
      <c r="E990" s="209">
        <f>E$146</f>
        <v>45016</v>
      </c>
      <c r="F990" s="209">
        <f>F$146</f>
        <v>45107</v>
      </c>
      <c r="G990" s="209">
        <f t="shared" ref="G990:I990" si="1107">G$146</f>
        <v>45199</v>
      </c>
      <c r="H990" s="209">
        <f t="shared" si="1107"/>
        <v>45291</v>
      </c>
      <c r="I990" s="209">
        <f t="shared" si="1107"/>
        <v>45382</v>
      </c>
      <c r="J990" s="209">
        <f>close</f>
        <v>45291</v>
      </c>
      <c r="K990" s="210" t="s">
        <v>597</v>
      </c>
      <c r="L990" s="209">
        <f>close</f>
        <v>45291</v>
      </c>
      <c r="M990" s="209">
        <f t="shared" ref="M990" si="1108">M$146</f>
        <v>45565</v>
      </c>
      <c r="N990" s="211">
        <f>N$146</f>
        <v>45930</v>
      </c>
      <c r="O990" s="211">
        <f t="shared" ref="O990:V990" si="1109">O$146</f>
        <v>46295</v>
      </c>
      <c r="P990" s="211">
        <f t="shared" si="1109"/>
        <v>46660</v>
      </c>
      <c r="Q990" s="211">
        <f t="shared" si="1109"/>
        <v>47026</v>
      </c>
      <c r="R990" s="211">
        <f t="shared" si="1109"/>
        <v>47391</v>
      </c>
      <c r="S990" s="211">
        <f t="shared" si="1109"/>
        <v>47756</v>
      </c>
      <c r="T990" s="211">
        <f t="shared" si="1109"/>
        <v>48121</v>
      </c>
      <c r="U990" s="211">
        <f t="shared" si="1109"/>
        <v>48487</v>
      </c>
      <c r="V990" s="211">
        <f t="shared" si="1109"/>
        <v>48852</v>
      </c>
    </row>
    <row r="991" spans="1:22" s="35" customFormat="1" ht="5.0999999999999996" customHeight="1" outlineLevel="1">
      <c r="L991" s="304"/>
      <c r="M991" s="304"/>
      <c r="N991" s="304"/>
      <c r="O991" s="304"/>
      <c r="P991" s="304"/>
      <c r="Q991" s="304"/>
      <c r="R991" s="304"/>
      <c r="S991" s="304"/>
      <c r="T991" s="304"/>
      <c r="U991" s="304"/>
      <c r="V991" s="304"/>
    </row>
    <row r="992" spans="1:22" s="35" customFormat="1" ht="13.5" customHeight="1" outlineLevel="1">
      <c r="B992" s="319" t="s">
        <v>437</v>
      </c>
      <c r="C992" s="320"/>
      <c r="D992" s="321"/>
      <c r="E992" s="321"/>
      <c r="F992" s="321"/>
      <c r="G992" s="321"/>
      <c r="H992" s="321"/>
      <c r="I992" s="321"/>
      <c r="J992" s="321"/>
      <c r="K992" s="322"/>
      <c r="L992" s="322"/>
      <c r="M992" s="322"/>
      <c r="N992" s="322"/>
      <c r="O992" s="322"/>
      <c r="P992" s="322"/>
      <c r="Q992" s="322"/>
      <c r="R992" s="322"/>
      <c r="S992" s="322"/>
      <c r="T992" s="322"/>
      <c r="U992" s="322"/>
      <c r="V992" s="322"/>
    </row>
    <row r="993" spans="2:22" s="35" customFormat="1" ht="13.5" customHeight="1" outlineLevel="1">
      <c r="L993" s="304"/>
      <c r="M993" s="304"/>
      <c r="N993" s="304"/>
      <c r="O993" s="304"/>
      <c r="P993" s="304"/>
      <c r="Q993" s="304"/>
      <c r="R993" s="304"/>
      <c r="S993" s="304"/>
      <c r="T993" s="304"/>
      <c r="U993" s="304"/>
      <c r="V993" s="304"/>
    </row>
    <row r="994" spans="2:22" s="35" customFormat="1" ht="13.5" customHeight="1" outlineLevel="1">
      <c r="B994" s="38" t="s">
        <v>438</v>
      </c>
      <c r="F994" s="505">
        <v>0.32990000000000003</v>
      </c>
      <c r="G994" s="323">
        <f>$F994</f>
        <v>0.32990000000000003</v>
      </c>
      <c r="H994" s="323">
        <f t="shared" ref="H994:I995" si="1110">$F994</f>
        <v>0.32990000000000003</v>
      </c>
      <c r="I994" s="323">
        <f t="shared" si="1110"/>
        <v>0.32990000000000003</v>
      </c>
      <c r="L994" s="304"/>
      <c r="M994" s="323">
        <f t="shared" ref="M994:V995" si="1111">$F994</f>
        <v>0.32990000000000003</v>
      </c>
      <c r="N994" s="323">
        <f t="shared" si="1111"/>
        <v>0.32990000000000003</v>
      </c>
      <c r="O994" s="323">
        <f t="shared" si="1111"/>
        <v>0.32990000000000003</v>
      </c>
      <c r="P994" s="323">
        <f t="shared" si="1111"/>
        <v>0.32990000000000003</v>
      </c>
      <c r="Q994" s="323">
        <f t="shared" si="1111"/>
        <v>0.32990000000000003</v>
      </c>
      <c r="R994" s="323">
        <f t="shared" si="1111"/>
        <v>0.32990000000000003</v>
      </c>
      <c r="S994" s="323">
        <f t="shared" si="1111"/>
        <v>0.32990000000000003</v>
      </c>
      <c r="T994" s="323">
        <f t="shared" si="1111"/>
        <v>0.32990000000000003</v>
      </c>
      <c r="U994" s="323">
        <f t="shared" si="1111"/>
        <v>0.32990000000000003</v>
      </c>
      <c r="V994" s="323">
        <f t="shared" si="1111"/>
        <v>0.32990000000000003</v>
      </c>
    </row>
    <row r="995" spans="2:22" s="35" customFormat="1" ht="13.5" customHeight="1" outlineLevel="1">
      <c r="B995" s="38" t="s">
        <v>439</v>
      </c>
      <c r="F995" s="505">
        <v>0.03</v>
      </c>
      <c r="G995" s="323">
        <f>$F995</f>
        <v>0.03</v>
      </c>
      <c r="H995" s="323">
        <f t="shared" si="1110"/>
        <v>0.03</v>
      </c>
      <c r="I995" s="323">
        <f t="shared" si="1110"/>
        <v>0.03</v>
      </c>
      <c r="L995" s="304"/>
      <c r="M995" s="323">
        <f t="shared" si="1111"/>
        <v>0.03</v>
      </c>
      <c r="N995" s="323">
        <f t="shared" si="1111"/>
        <v>0.03</v>
      </c>
      <c r="O995" s="323">
        <f t="shared" si="1111"/>
        <v>0.03</v>
      </c>
      <c r="P995" s="323">
        <f t="shared" si="1111"/>
        <v>0.03</v>
      </c>
      <c r="Q995" s="323">
        <f t="shared" si="1111"/>
        <v>0.03</v>
      </c>
      <c r="R995" s="323">
        <f t="shared" si="1111"/>
        <v>0.03</v>
      </c>
      <c r="S995" s="323">
        <f t="shared" si="1111"/>
        <v>0.03</v>
      </c>
      <c r="T995" s="323">
        <f t="shared" si="1111"/>
        <v>0.03</v>
      </c>
      <c r="U995" s="323">
        <f t="shared" si="1111"/>
        <v>0.03</v>
      </c>
      <c r="V995" s="323">
        <f t="shared" si="1111"/>
        <v>0.03</v>
      </c>
    </row>
    <row r="996" spans="2:22" s="35" customFormat="1" ht="13.5" customHeight="1" outlineLevel="1">
      <c r="B996" s="38" t="s">
        <v>440</v>
      </c>
      <c r="E996" s="256">
        <f ca="1">E235</f>
        <v>0.34999999999999992</v>
      </c>
      <c r="F996" s="323">
        <f t="shared" ref="F996:I996" si="1112">F994*(1-F995)+F995</f>
        <v>0.35000300000000006</v>
      </c>
      <c r="G996" s="323">
        <f t="shared" si="1112"/>
        <v>0.35000300000000006</v>
      </c>
      <c r="H996" s="323">
        <f t="shared" si="1112"/>
        <v>0.35000300000000006</v>
      </c>
      <c r="I996" s="323">
        <f t="shared" si="1112"/>
        <v>0.35000300000000006</v>
      </c>
      <c r="L996" s="304"/>
      <c r="M996" s="323">
        <f t="shared" ref="M996:V996" si="1113">M994*(1-M995)+M995</f>
        <v>0.35000300000000006</v>
      </c>
      <c r="N996" s="323">
        <f t="shared" si="1113"/>
        <v>0.35000300000000006</v>
      </c>
      <c r="O996" s="323">
        <f t="shared" si="1113"/>
        <v>0.35000300000000006</v>
      </c>
      <c r="P996" s="323">
        <f t="shared" si="1113"/>
        <v>0.35000300000000006</v>
      </c>
      <c r="Q996" s="323">
        <f t="shared" si="1113"/>
        <v>0.35000300000000006</v>
      </c>
      <c r="R996" s="323">
        <f t="shared" si="1113"/>
        <v>0.35000300000000006</v>
      </c>
      <c r="S996" s="323">
        <f t="shared" si="1113"/>
        <v>0.35000300000000006</v>
      </c>
      <c r="T996" s="323">
        <f t="shared" si="1113"/>
        <v>0.35000300000000006</v>
      </c>
      <c r="U996" s="323">
        <f t="shared" si="1113"/>
        <v>0.35000300000000006</v>
      </c>
      <c r="V996" s="323">
        <f t="shared" si="1113"/>
        <v>0.35000300000000006</v>
      </c>
    </row>
    <row r="997" spans="2:22" s="35" customFormat="1" ht="13.5" customHeight="1" outlineLevel="1">
      <c r="L997" s="304"/>
      <c r="M997" s="304"/>
      <c r="N997" s="304"/>
      <c r="O997" s="304"/>
      <c r="P997" s="304"/>
      <c r="Q997" s="304"/>
      <c r="R997" s="304"/>
      <c r="S997" s="304"/>
      <c r="T997" s="304"/>
      <c r="U997" s="304"/>
      <c r="V997" s="304"/>
    </row>
    <row r="998" spans="2:22" s="35" customFormat="1" ht="13.5" customHeight="1" outlineLevel="1">
      <c r="B998" s="46" t="s">
        <v>441</v>
      </c>
      <c r="C998" s="47"/>
      <c r="D998" s="47"/>
      <c r="E998" s="47"/>
      <c r="F998" s="47"/>
      <c r="G998" s="47"/>
      <c r="H998" s="47"/>
      <c r="I998" s="47"/>
      <c r="J998" s="47"/>
      <c r="K998" s="47"/>
      <c r="L998" s="47"/>
      <c r="M998" s="47"/>
      <c r="N998" s="47"/>
      <c r="O998" s="47"/>
      <c r="P998" s="47"/>
      <c r="Q998" s="47"/>
      <c r="R998" s="47"/>
      <c r="S998" s="47"/>
      <c r="T998" s="47"/>
      <c r="U998" s="47"/>
      <c r="V998" s="48"/>
    </row>
    <row r="999" spans="2:22" s="35" customFormat="1" ht="13.5" customHeight="1" outlineLevel="1">
      <c r="L999" s="304"/>
      <c r="M999" s="304"/>
      <c r="N999" s="304"/>
      <c r="O999" s="304"/>
      <c r="P999" s="304"/>
      <c r="Q999" s="304"/>
      <c r="R999" s="304"/>
      <c r="S999" s="304"/>
      <c r="T999" s="304"/>
      <c r="U999" s="304"/>
      <c r="V999" s="304"/>
    </row>
    <row r="1000" spans="2:22" s="35" customFormat="1" ht="13.5" customHeight="1" outlineLevel="1">
      <c r="B1000" s="38" t="s">
        <v>21</v>
      </c>
      <c r="C1000" s="263"/>
      <c r="D1000" s="263"/>
      <c r="E1000" s="263"/>
      <c r="F1000" s="136">
        <f>F154</f>
        <v>31.605</v>
      </c>
      <c r="G1000" s="136">
        <f>G154</f>
        <v>32.900000000000006</v>
      </c>
      <c r="H1000" s="136">
        <f>H154</f>
        <v>33.5</v>
      </c>
      <c r="I1000" s="136">
        <f>I154</f>
        <v>34</v>
      </c>
      <c r="L1000" s="304"/>
      <c r="M1000" s="136">
        <f t="shared" ref="M1000:V1000" ca="1" si="1114">M154</f>
        <v>94.874999999999972</v>
      </c>
      <c r="N1000" s="136">
        <f t="shared" ca="1" si="1114"/>
        <v>155.90000000000003</v>
      </c>
      <c r="O1000" s="136">
        <f t="shared" ca="1" si="1114"/>
        <v>160.09999999999991</v>
      </c>
      <c r="P1000" s="136">
        <f t="shared" ca="1" si="1114"/>
        <v>161.26136025504778</v>
      </c>
      <c r="Q1000" s="136">
        <f t="shared" ca="1" si="1114"/>
        <v>162.43308759420017</v>
      </c>
      <c r="R1000" s="136">
        <f t="shared" ca="1" si="1114"/>
        <v>163.61527456103465</v>
      </c>
      <c r="S1000" s="136">
        <f t="shared" ca="1" si="1114"/>
        <v>164.80801452523522</v>
      </c>
      <c r="T1000" s="136">
        <f t="shared" ca="1" si="1114"/>
        <v>166.01140168996628</v>
      </c>
      <c r="U1000" s="136">
        <f t="shared" ca="1" si="1114"/>
        <v>167.22553109931346</v>
      </c>
      <c r="V1000" s="136">
        <f t="shared" ca="1" si="1114"/>
        <v>168.45049864578976</v>
      </c>
    </row>
    <row r="1001" spans="2:22" s="35" customFormat="1" ht="13.5" customHeight="1" outlineLevel="1">
      <c r="B1001" s="38" t="s">
        <v>442</v>
      </c>
      <c r="C1001" s="38"/>
      <c r="D1001" s="38"/>
      <c r="E1001" s="38"/>
      <c r="F1001" s="57">
        <f>-F155</f>
        <v>-3.3</v>
      </c>
      <c r="G1001" s="57">
        <f>-G155</f>
        <v>-3.3</v>
      </c>
      <c r="H1001" s="57">
        <f>-H155</f>
        <v>-3.3</v>
      </c>
      <c r="I1001" s="57">
        <f>-I155</f>
        <v>-3.3</v>
      </c>
      <c r="L1001" s="304"/>
      <c r="M1001" s="57">
        <f t="shared" ref="M1001:V1001" ca="1" si="1115">-M155</f>
        <v>-12.182142857142857</v>
      </c>
      <c r="N1001" s="57">
        <f t="shared" ca="1" si="1115"/>
        <v>-16.242857142857144</v>
      </c>
      <c r="O1001" s="57">
        <f t="shared" ca="1" si="1115"/>
        <v>-16.24285714285714</v>
      </c>
      <c r="P1001" s="57">
        <f t="shared" ca="1" si="1115"/>
        <v>-16.368723242750868</v>
      </c>
      <c r="Q1001" s="57">
        <f t="shared" ca="1" si="1115"/>
        <v>-16.495712908254703</v>
      </c>
      <c r="R1001" s="57">
        <f t="shared" ca="1" si="1115"/>
        <v>-16.623836169072277</v>
      </c>
      <c r="S1001" s="57">
        <f t="shared" ca="1" si="1115"/>
        <v>-16.753103144439127</v>
      </c>
      <c r="T1001" s="57">
        <f t="shared" ca="1" si="1115"/>
        <v>-15.276381186779041</v>
      </c>
      <c r="U1001" s="57">
        <f t="shared" ca="1" si="1115"/>
        <v>-14.872252025367564</v>
      </c>
      <c r="V1001" s="57">
        <f t="shared" ca="1" si="1115"/>
        <v>-15.00501176714555</v>
      </c>
    </row>
    <row r="1002" spans="2:22" s="35" customFormat="1" ht="13.5" customHeight="1" outlineLevel="1">
      <c r="B1002" s="38" t="s">
        <v>443</v>
      </c>
      <c r="C1002" s="38"/>
      <c r="D1002" s="38"/>
      <c r="E1002" s="38"/>
      <c r="F1002" s="57">
        <f t="shared" ref="F1002:I1003" si="1116">-F157</f>
        <v>-4.5</v>
      </c>
      <c r="G1002" s="57">
        <f t="shared" si="1116"/>
        <v>-4.5</v>
      </c>
      <c r="H1002" s="57">
        <f t="shared" si="1116"/>
        <v>-4.5</v>
      </c>
      <c r="I1002" s="57">
        <f t="shared" si="1116"/>
        <v>-4.5</v>
      </c>
      <c r="L1002" s="304"/>
      <c r="M1002" s="57">
        <f t="shared" ref="M1002:V1002" ca="1" si="1117">-M157</f>
        <v>-31.343302633359372</v>
      </c>
      <c r="N1002" s="57">
        <f t="shared" ca="1" si="1117"/>
        <v>-41.891070177812495</v>
      </c>
      <c r="O1002" s="57">
        <f t="shared" ca="1" si="1117"/>
        <v>-41.891070177812495</v>
      </c>
      <c r="P1002" s="57">
        <f t="shared" ca="1" si="1117"/>
        <v>-42.069603652839064</v>
      </c>
      <c r="Q1002" s="57">
        <f t="shared" ca="1" si="1117"/>
        <v>-42.249730837950878</v>
      </c>
      <c r="R1002" s="57">
        <f t="shared" ca="1" si="1117"/>
        <v>-26.013163326318569</v>
      </c>
      <c r="S1002" s="57">
        <f t="shared" ca="1" si="1117"/>
        <v>-20.723753193733309</v>
      </c>
      <c r="T1002" s="57">
        <f t="shared" ca="1" si="1117"/>
        <v>-20.908747377396814</v>
      </c>
      <c r="U1002" s="57">
        <f t="shared" ca="1" si="1117"/>
        <v>-21.095392943783779</v>
      </c>
      <c r="V1002" s="57">
        <f t="shared" ca="1" si="1117"/>
        <v>-21.283704634249009</v>
      </c>
    </row>
    <row r="1003" spans="2:22" s="35" customFormat="1" ht="13.5" customHeight="1" outlineLevel="1">
      <c r="B1003" s="38" t="s">
        <v>444</v>
      </c>
      <c r="C1003" s="38"/>
      <c r="D1003" s="38"/>
      <c r="E1003" s="38"/>
      <c r="F1003" s="57">
        <f t="shared" si="1116"/>
        <v>-2.004999999999999</v>
      </c>
      <c r="G1003" s="57">
        <f t="shared" si="1116"/>
        <v>-2.9000000000000057</v>
      </c>
      <c r="H1003" s="57">
        <f t="shared" si="1116"/>
        <v>-3.0999999999999979</v>
      </c>
      <c r="I1003" s="57">
        <f t="shared" si="1116"/>
        <v>-3.0999999999999979</v>
      </c>
      <c r="L1003" s="304"/>
      <c r="M1003" s="57">
        <f t="shared" ref="M1003:V1003" ca="1" si="1118">-M158</f>
        <v>-7.95</v>
      </c>
      <c r="N1003" s="57">
        <f t="shared" ca="1" si="1118"/>
        <v>-10.7</v>
      </c>
      <c r="O1003" s="57">
        <f t="shared" ca="1" si="1118"/>
        <v>-10.699999999999998</v>
      </c>
      <c r="P1003" s="57">
        <f t="shared" ca="1" si="1118"/>
        <v>-10.79551540913921</v>
      </c>
      <c r="Q1003" s="57">
        <f t="shared" ca="1" si="1118"/>
        <v>-10.891883453174033</v>
      </c>
      <c r="R1003" s="57">
        <f t="shared" ca="1" si="1118"/>
        <v>-10.989111743298009</v>
      </c>
      <c r="S1003" s="57">
        <f t="shared" ca="1" si="1118"/>
        <v>-11.087207958647321</v>
      </c>
      <c r="T1003" s="57">
        <f t="shared" ca="1" si="1118"/>
        <v>-11.186179846907295</v>
      </c>
      <c r="U1003" s="57">
        <f t="shared" ca="1" si="1118"/>
        <v>-11.286035224924321</v>
      </c>
      <c r="V1003" s="57">
        <f t="shared" ca="1" si="1118"/>
        <v>-11.386781979323219</v>
      </c>
    </row>
    <row r="1004" spans="2:22" s="35" customFormat="1" ht="13.5" customHeight="1" outlineLevel="1">
      <c r="B1004" s="62" t="s">
        <v>445</v>
      </c>
      <c r="C1004" s="38"/>
      <c r="D1004" s="38"/>
      <c r="E1004" s="38"/>
      <c r="F1004" s="57">
        <f ca="1">-F172</f>
        <v>-8.1937499999999996</v>
      </c>
      <c r="G1004" s="57">
        <f ca="1">-G172</f>
        <v>-8.1937499999999996</v>
      </c>
      <c r="H1004" s="57">
        <f ca="1">-H172</f>
        <v>-8.1937499999999996</v>
      </c>
      <c r="I1004" s="57">
        <f ca="1">-I172</f>
        <v>-8.1937499999999996</v>
      </c>
      <c r="L1004" s="304"/>
      <c r="M1004" s="57">
        <f t="shared" ref="M1004:V1004" ca="1" si="1119">-M172</f>
        <v>-14.673749999999998</v>
      </c>
      <c r="N1004" s="57">
        <f t="shared" ca="1" si="1119"/>
        <v>-16.107023552816308</v>
      </c>
      <c r="O1004" s="57">
        <f t="shared" ca="1" si="1119"/>
        <v>-15.679529626965946</v>
      </c>
      <c r="P1004" s="57">
        <f t="shared" ca="1" si="1119"/>
        <v>-15.103489969678247</v>
      </c>
      <c r="Q1004" s="57">
        <f t="shared" ca="1" si="1119"/>
        <v>-13.107559803049444</v>
      </c>
      <c r="R1004" s="57">
        <f t="shared" ca="1" si="1119"/>
        <v>-11.892560755974001</v>
      </c>
      <c r="S1004" s="57">
        <f t="shared" ca="1" si="1119"/>
        <v>-6.4594457497016382</v>
      </c>
      <c r="T1004" s="57">
        <f t="shared" ca="1" si="1119"/>
        <v>-5.6105093845032581</v>
      </c>
      <c r="U1004" s="57">
        <f t="shared" ca="1" si="1119"/>
        <v>5.9899472750485598</v>
      </c>
      <c r="V1004" s="57">
        <f t="shared" ca="1" si="1119"/>
        <v>7.0591255677183016</v>
      </c>
    </row>
    <row r="1005" spans="2:22" s="35" customFormat="1" ht="13.5" customHeight="1" outlineLevel="1">
      <c r="B1005" s="38" t="s">
        <v>446</v>
      </c>
      <c r="C1005" s="38"/>
      <c r="D1005" s="38"/>
      <c r="E1005" s="38"/>
      <c r="F1005" s="57">
        <f>-F411*(1-$E414)</f>
        <v>0</v>
      </c>
      <c r="G1005" s="57">
        <f>-G411*(1-$E414)</f>
        <v>0</v>
      </c>
      <c r="H1005" s="57">
        <f>-H411*(1-$E414)</f>
        <v>0</v>
      </c>
      <c r="I1005" s="57">
        <f>-I411*(1-$E414)</f>
        <v>0</v>
      </c>
      <c r="L1005" s="304"/>
      <c r="M1005" s="57">
        <f t="shared" ref="M1005:V1005" si="1120">-M411*(1-$E414)</f>
        <v>0</v>
      </c>
      <c r="N1005" s="57">
        <f t="shared" si="1120"/>
        <v>0</v>
      </c>
      <c r="O1005" s="57">
        <f t="shared" si="1120"/>
        <v>0</v>
      </c>
      <c r="P1005" s="57">
        <f t="shared" si="1120"/>
        <v>0</v>
      </c>
      <c r="Q1005" s="57">
        <f t="shared" si="1120"/>
        <v>0</v>
      </c>
      <c r="R1005" s="57">
        <f t="shared" si="1120"/>
        <v>0</v>
      </c>
      <c r="S1005" s="57">
        <f t="shared" si="1120"/>
        <v>0</v>
      </c>
      <c r="T1005" s="57">
        <f t="shared" si="1120"/>
        <v>0</v>
      </c>
      <c r="U1005" s="57">
        <f t="shared" si="1120"/>
        <v>0</v>
      </c>
      <c r="V1005" s="57">
        <f t="shared" si="1120"/>
        <v>0</v>
      </c>
    </row>
    <row r="1006" spans="2:22" s="35" customFormat="1" ht="13.5" customHeight="1" outlineLevel="1">
      <c r="B1006" s="324" t="s">
        <v>447</v>
      </c>
      <c r="C1006" s="38"/>
      <c r="D1006" s="38"/>
      <c r="E1006" s="38"/>
      <c r="F1006" s="57">
        <f>-F177</f>
        <v>0</v>
      </c>
      <c r="G1006" s="57">
        <f>-G177</f>
        <v>0</v>
      </c>
      <c r="H1006" s="57">
        <f>-H177</f>
        <v>0</v>
      </c>
      <c r="I1006" s="57">
        <f>-I177</f>
        <v>0</v>
      </c>
      <c r="L1006" s="304"/>
      <c r="M1006" s="57">
        <f t="shared" ref="M1006:V1006" si="1121">-M177</f>
        <v>0</v>
      </c>
      <c r="N1006" s="57">
        <f t="shared" si="1121"/>
        <v>0</v>
      </c>
      <c r="O1006" s="57">
        <f t="shared" si="1121"/>
        <v>0</v>
      </c>
      <c r="P1006" s="57">
        <f t="shared" si="1121"/>
        <v>0</v>
      </c>
      <c r="Q1006" s="57">
        <f t="shared" si="1121"/>
        <v>0</v>
      </c>
      <c r="R1006" s="57">
        <f t="shared" si="1121"/>
        <v>0</v>
      </c>
      <c r="S1006" s="57">
        <f t="shared" si="1121"/>
        <v>0</v>
      </c>
      <c r="T1006" s="57">
        <f t="shared" si="1121"/>
        <v>0</v>
      </c>
      <c r="U1006" s="57">
        <f t="shared" si="1121"/>
        <v>0</v>
      </c>
      <c r="V1006" s="57">
        <f t="shared" si="1121"/>
        <v>0</v>
      </c>
    </row>
    <row r="1007" spans="2:22" s="35" customFormat="1" ht="13.5" customHeight="1" outlineLevel="1">
      <c r="B1007" s="324" t="s">
        <v>448</v>
      </c>
      <c r="C1007" s="38"/>
      <c r="D1007" s="38"/>
      <c r="E1007" s="38"/>
      <c r="F1007" s="57">
        <f>-F174</f>
        <v>0</v>
      </c>
      <c r="G1007" s="57">
        <f>-G174</f>
        <v>0</v>
      </c>
      <c r="H1007" s="57">
        <f>-H174</f>
        <v>0</v>
      </c>
      <c r="I1007" s="57">
        <f>-I174</f>
        <v>0</v>
      </c>
      <c r="L1007" s="304"/>
      <c r="M1007" s="57">
        <f t="shared" ref="M1007:V1007" ca="1" si="1122">-M174</f>
        <v>0</v>
      </c>
      <c r="N1007" s="57">
        <f t="shared" ca="1" si="1122"/>
        <v>0</v>
      </c>
      <c r="O1007" s="57">
        <f t="shared" ca="1" si="1122"/>
        <v>0</v>
      </c>
      <c r="P1007" s="57">
        <f t="shared" ca="1" si="1122"/>
        <v>0</v>
      </c>
      <c r="Q1007" s="57">
        <f t="shared" ca="1" si="1122"/>
        <v>0</v>
      </c>
      <c r="R1007" s="57">
        <f t="shared" ca="1" si="1122"/>
        <v>0</v>
      </c>
      <c r="S1007" s="57">
        <f t="shared" ca="1" si="1122"/>
        <v>0</v>
      </c>
      <c r="T1007" s="57">
        <f t="shared" ca="1" si="1122"/>
        <v>0</v>
      </c>
      <c r="U1007" s="57">
        <f t="shared" ca="1" si="1122"/>
        <v>0</v>
      </c>
      <c r="V1007" s="57">
        <f t="shared" ca="1" si="1122"/>
        <v>0</v>
      </c>
    </row>
    <row r="1008" spans="2:22" s="35" customFormat="1" ht="13.5" customHeight="1" outlineLevel="1">
      <c r="B1008" s="52" t="s">
        <v>449</v>
      </c>
      <c r="C1008" s="52"/>
      <c r="D1008" s="52"/>
      <c r="E1008" s="52"/>
      <c r="F1008" s="325">
        <f ca="1">SUM(F1000:F1007)</f>
        <v>13.606250000000001</v>
      </c>
      <c r="G1008" s="325">
        <f t="shared" ref="G1008:I1008" ca="1" si="1123">SUM(G1000:G1007)</f>
        <v>14.00625</v>
      </c>
      <c r="H1008" s="325">
        <f t="shared" ca="1" si="1123"/>
        <v>14.406250000000002</v>
      </c>
      <c r="I1008" s="325">
        <f t="shared" ca="1" si="1123"/>
        <v>14.906250000000002</v>
      </c>
      <c r="J1008" s="325"/>
      <c r="K1008" s="325"/>
      <c r="L1008" s="325"/>
      <c r="M1008" s="325">
        <f t="shared" ref="M1008" ca="1" si="1124">SUM(M1000:M1007)</f>
        <v>28.725804509497749</v>
      </c>
      <c r="N1008" s="325">
        <f t="shared" ref="N1008" ca="1" si="1125">SUM(N1000:N1007)</f>
        <v>70.959049126514088</v>
      </c>
      <c r="O1008" s="325">
        <f t="shared" ref="O1008" ca="1" si="1126">SUM(O1000:O1007)</f>
        <v>75.586543052364334</v>
      </c>
      <c r="P1008" s="325">
        <f t="shared" ref="P1008" ca="1" si="1127">SUM(P1000:P1007)</f>
        <v>76.924027980640389</v>
      </c>
      <c r="Q1008" s="325">
        <f t="shared" ref="Q1008" ca="1" si="1128">SUM(Q1000:Q1007)</f>
        <v>79.688200591771135</v>
      </c>
      <c r="R1008" s="325">
        <f t="shared" ref="R1008" ca="1" si="1129">SUM(R1000:R1007)</f>
        <v>98.096602566371814</v>
      </c>
      <c r="S1008" s="325">
        <f t="shared" ref="S1008" ca="1" si="1130">SUM(S1000:S1007)</f>
        <v>109.78450447871381</v>
      </c>
      <c r="T1008" s="325">
        <f t="shared" ref="T1008" ca="1" si="1131">SUM(T1000:T1007)</f>
        <v>113.02958389437985</v>
      </c>
      <c r="U1008" s="325">
        <f t="shared" ref="U1008" ca="1" si="1132">SUM(U1000:U1007)</f>
        <v>125.96179818028634</v>
      </c>
      <c r="V1008" s="325">
        <f t="shared" ref="V1008" ca="1" si="1133">SUM(V1000:V1007)</f>
        <v>127.83412583279028</v>
      </c>
    </row>
    <row r="1009" spans="2:22" s="35" customFormat="1" ht="13.5" customHeight="1" outlineLevel="1">
      <c r="B1009" s="38" t="s">
        <v>450</v>
      </c>
      <c r="C1009" s="38"/>
      <c r="D1009" s="38"/>
      <c r="E1009" s="38"/>
      <c r="F1009" s="57">
        <f ca="1">F1031+F1045</f>
        <v>0</v>
      </c>
      <c r="G1009" s="57">
        <f t="shared" ref="G1009:V1009" ca="1" si="1134">G1031+G1045</f>
        <v>0</v>
      </c>
      <c r="H1009" s="57">
        <f t="shared" ca="1" si="1134"/>
        <v>0</v>
      </c>
      <c r="I1009" s="57">
        <f t="shared" ca="1" si="1134"/>
        <v>0</v>
      </c>
      <c r="J1009" s="57"/>
      <c r="K1009" s="57"/>
      <c r="L1009" s="57"/>
      <c r="M1009" s="57">
        <f t="shared" ca="1" si="1134"/>
        <v>0</v>
      </c>
      <c r="N1009" s="57">
        <f t="shared" ca="1" si="1134"/>
        <v>0</v>
      </c>
      <c r="O1009" s="57">
        <f t="shared" ca="1" si="1134"/>
        <v>0</v>
      </c>
      <c r="P1009" s="57">
        <f t="shared" ca="1" si="1134"/>
        <v>0</v>
      </c>
      <c r="Q1009" s="57">
        <f t="shared" ca="1" si="1134"/>
        <v>0</v>
      </c>
      <c r="R1009" s="57">
        <f t="shared" ca="1" si="1134"/>
        <v>0</v>
      </c>
      <c r="S1009" s="57">
        <f t="shared" ca="1" si="1134"/>
        <v>0</v>
      </c>
      <c r="T1009" s="57">
        <f t="shared" ca="1" si="1134"/>
        <v>0</v>
      </c>
      <c r="U1009" s="57">
        <f t="shared" ca="1" si="1134"/>
        <v>0</v>
      </c>
      <c r="V1009" s="57">
        <f t="shared" ca="1" si="1134"/>
        <v>0</v>
      </c>
    </row>
    <row r="1010" spans="2:22" s="35" customFormat="1" ht="13.5" customHeight="1" outlineLevel="1">
      <c r="B1010" s="52" t="s">
        <v>451</v>
      </c>
      <c r="C1010" s="52"/>
      <c r="D1010" s="52"/>
      <c r="E1010" s="52"/>
      <c r="F1010" s="325">
        <f t="shared" ref="F1010:I1010" ca="1" si="1135">SUM(F1008:F1009)</f>
        <v>13.606250000000001</v>
      </c>
      <c r="G1010" s="325">
        <f t="shared" ca="1" si="1135"/>
        <v>14.00625</v>
      </c>
      <c r="H1010" s="325">
        <f t="shared" ca="1" si="1135"/>
        <v>14.406250000000002</v>
      </c>
      <c r="I1010" s="325">
        <f t="shared" ca="1" si="1135"/>
        <v>14.906250000000002</v>
      </c>
      <c r="J1010" s="325"/>
      <c r="K1010" s="325"/>
      <c r="L1010" s="325"/>
      <c r="M1010" s="325">
        <f t="shared" ref="M1010:V1010" ca="1" si="1136">SUM(M1008:M1009)</f>
        <v>28.725804509497749</v>
      </c>
      <c r="N1010" s="325">
        <f t="shared" ca="1" si="1136"/>
        <v>70.959049126514088</v>
      </c>
      <c r="O1010" s="325">
        <f t="shared" ca="1" si="1136"/>
        <v>75.586543052364334</v>
      </c>
      <c r="P1010" s="325">
        <f t="shared" ca="1" si="1136"/>
        <v>76.924027980640389</v>
      </c>
      <c r="Q1010" s="325">
        <f t="shared" ca="1" si="1136"/>
        <v>79.688200591771135</v>
      </c>
      <c r="R1010" s="325">
        <f t="shared" ca="1" si="1136"/>
        <v>98.096602566371814</v>
      </c>
      <c r="S1010" s="325">
        <f t="shared" ca="1" si="1136"/>
        <v>109.78450447871381</v>
      </c>
      <c r="T1010" s="325">
        <f t="shared" ca="1" si="1136"/>
        <v>113.02958389437985</v>
      </c>
      <c r="U1010" s="325">
        <f t="shared" ca="1" si="1136"/>
        <v>125.96179818028634</v>
      </c>
      <c r="V1010" s="325">
        <f t="shared" ca="1" si="1136"/>
        <v>127.83412583279028</v>
      </c>
    </row>
    <row r="1011" spans="2:22" s="35" customFormat="1" ht="13.5" customHeight="1" outlineLevel="1">
      <c r="B1011" s="38" t="s">
        <v>452</v>
      </c>
      <c r="C1011" s="38"/>
      <c r="D1011" s="38"/>
      <c r="E1011" s="38"/>
      <c r="F1011" s="57">
        <f ca="1">-MAX(0,F1010*F995)</f>
        <v>-0.40818750000000004</v>
      </c>
      <c r="G1011" s="57">
        <f t="shared" ref="G1011:I1011" ca="1" si="1137">-MAX(0,G1010*G995)</f>
        <v>-0.42018749999999999</v>
      </c>
      <c r="H1011" s="57">
        <f t="shared" ca="1" si="1137"/>
        <v>-0.43218750000000006</v>
      </c>
      <c r="I1011" s="57">
        <f t="shared" ca="1" si="1137"/>
        <v>-0.44718750000000002</v>
      </c>
      <c r="J1011" s="57"/>
      <c r="K1011" s="57"/>
      <c r="L1011" s="57"/>
      <c r="M1011" s="57">
        <f t="shared" ref="M1011" ca="1" si="1138">-MAX(0,M1010*M995)</f>
        <v>-0.86177413528493241</v>
      </c>
      <c r="N1011" s="57">
        <f t="shared" ref="N1011" ca="1" si="1139">-MAX(0,N1010*N995)</f>
        <v>-2.1287714737954224</v>
      </c>
      <c r="O1011" s="57">
        <f t="shared" ref="O1011" ca="1" si="1140">-MAX(0,O1010*O995)</f>
        <v>-2.2675962915709298</v>
      </c>
      <c r="P1011" s="57">
        <f t="shared" ref="P1011" ca="1" si="1141">-MAX(0,P1010*P995)</f>
        <v>-2.3077208394192117</v>
      </c>
      <c r="Q1011" s="57">
        <f t="shared" ref="Q1011" ca="1" si="1142">-MAX(0,Q1010*Q995)</f>
        <v>-2.3906460177531339</v>
      </c>
      <c r="R1011" s="57">
        <f t="shared" ref="R1011" ca="1" si="1143">-MAX(0,R1010*R995)</f>
        <v>-2.9428980769911544</v>
      </c>
      <c r="S1011" s="57">
        <f t="shared" ref="S1011" ca="1" si="1144">-MAX(0,S1010*S995)</f>
        <v>-3.2935351343614143</v>
      </c>
      <c r="T1011" s="57">
        <f t="shared" ref="T1011" ca="1" si="1145">-MAX(0,T1010*T995)</f>
        <v>-3.3908875168313957</v>
      </c>
      <c r="U1011" s="57">
        <f t="shared" ref="U1011" ca="1" si="1146">-MAX(0,U1010*U995)</f>
        <v>-3.7788539454085899</v>
      </c>
      <c r="V1011" s="57">
        <f t="shared" ref="V1011" ca="1" si="1147">-MAX(0,V1010*V995)</f>
        <v>-3.8350237749837084</v>
      </c>
    </row>
    <row r="1012" spans="2:22" s="35" customFormat="1" ht="13.5" customHeight="1" outlineLevel="1">
      <c r="B1012" s="52" t="s">
        <v>453</v>
      </c>
      <c r="C1012" s="52"/>
      <c r="D1012" s="52"/>
      <c r="E1012" s="52"/>
      <c r="F1012" s="72">
        <f t="shared" ref="F1012:I1012" ca="1" si="1148">SUM(F1010:F1011)</f>
        <v>13.198062500000001</v>
      </c>
      <c r="G1012" s="72">
        <f t="shared" ca="1" si="1148"/>
        <v>13.586062499999999</v>
      </c>
      <c r="H1012" s="72">
        <f t="shared" ca="1" si="1148"/>
        <v>13.974062500000002</v>
      </c>
      <c r="I1012" s="72">
        <f t="shared" ca="1" si="1148"/>
        <v>14.459062500000002</v>
      </c>
      <c r="J1012" s="72"/>
      <c r="K1012" s="72"/>
      <c r="L1012" s="72"/>
      <c r="M1012" s="72">
        <f t="shared" ref="M1012:V1012" ca="1" si="1149">SUM(M1010:M1011)</f>
        <v>27.864030374212817</v>
      </c>
      <c r="N1012" s="72">
        <f t="shared" ca="1" si="1149"/>
        <v>68.830277652718664</v>
      </c>
      <c r="O1012" s="72">
        <f t="shared" ca="1" si="1149"/>
        <v>73.318946760793409</v>
      </c>
      <c r="P1012" s="72">
        <f t="shared" ca="1" si="1149"/>
        <v>74.616307141221171</v>
      </c>
      <c r="Q1012" s="72">
        <f t="shared" ca="1" si="1149"/>
        <v>77.297554574018008</v>
      </c>
      <c r="R1012" s="72">
        <f t="shared" ca="1" si="1149"/>
        <v>95.153704489380658</v>
      </c>
      <c r="S1012" s="72">
        <f t="shared" ca="1" si="1149"/>
        <v>106.49096934435239</v>
      </c>
      <c r="T1012" s="72">
        <f t="shared" ca="1" si="1149"/>
        <v>109.63869637754846</v>
      </c>
      <c r="U1012" s="72">
        <f t="shared" ca="1" si="1149"/>
        <v>122.18294423487775</v>
      </c>
      <c r="V1012" s="72">
        <f t="shared" ca="1" si="1149"/>
        <v>123.99910205780657</v>
      </c>
    </row>
    <row r="1013" spans="2:22" s="35" customFormat="1" ht="13.5" customHeight="1" outlineLevel="1">
      <c r="L1013" s="304"/>
      <c r="M1013" s="304"/>
      <c r="N1013" s="304"/>
      <c r="O1013" s="304"/>
      <c r="P1013" s="304"/>
      <c r="Q1013" s="304"/>
      <c r="R1013" s="304"/>
      <c r="S1013" s="304"/>
      <c r="T1013" s="304"/>
      <c r="U1013" s="304"/>
      <c r="V1013" s="304"/>
    </row>
    <row r="1014" spans="2:22" s="35" customFormat="1" ht="13.5" customHeight="1" outlineLevel="1">
      <c r="B1014" s="38" t="s">
        <v>454</v>
      </c>
      <c r="C1014" s="80"/>
      <c r="D1014" s="80"/>
      <c r="E1014" s="80"/>
      <c r="F1014" s="136">
        <f ca="1">F1066</f>
        <v>4.3540408187500006</v>
      </c>
      <c r="G1014" s="136">
        <f t="shared" ref="G1014:I1014" ca="1" si="1150">G1066</f>
        <v>4.4820420187499996</v>
      </c>
      <c r="H1014" s="136">
        <f t="shared" ca="1" si="1150"/>
        <v>4.6100432187500013</v>
      </c>
      <c r="I1014" s="136">
        <f t="shared" ca="1" si="1150"/>
        <v>4.7700447187500012</v>
      </c>
      <c r="L1014" s="304"/>
      <c r="M1014" s="136">
        <f t="shared" ref="M1014:V1014" ca="1" si="1151">M1066</f>
        <v>9.1923436204528084</v>
      </c>
      <c r="N1014" s="136">
        <f t="shared" ca="1" si="1151"/>
        <v>22.70710859763189</v>
      </c>
      <c r="O1014" s="136">
        <f t="shared" ca="1" si="1151"/>
        <v>24.187920536385747</v>
      </c>
      <c r="P1014" s="136">
        <f t="shared" ca="1" si="1151"/>
        <v>24.615919725888865</v>
      </c>
      <c r="Q1014" s="136">
        <f t="shared" ca="1" si="1151"/>
        <v>25.500463253968544</v>
      </c>
      <c r="R1014" s="136">
        <f t="shared" ca="1" si="1151"/>
        <v>31.391207111046683</v>
      </c>
      <c r="S1014" s="136">
        <f t="shared" ca="1" si="1151"/>
        <v>35.131370786701858</v>
      </c>
      <c r="T1014" s="136">
        <f t="shared" ca="1" si="1151"/>
        <v>36.169805934953239</v>
      </c>
      <c r="U1014" s="136">
        <f t="shared" ca="1" si="1151"/>
        <v>40.308153303086172</v>
      </c>
      <c r="V1014" s="136">
        <f t="shared" ca="1" si="1151"/>
        <v>40.907303768870392</v>
      </c>
    </row>
    <row r="1015" spans="2:22" s="35" customFormat="1" ht="13.5" customHeight="1" outlineLevel="1">
      <c r="B1015" s="38" t="s">
        <v>455</v>
      </c>
      <c r="C1015" s="80"/>
      <c r="D1015" s="80"/>
      <c r="E1015" s="80"/>
      <c r="F1015" s="57">
        <f t="shared" ref="F1015:I1015" ca="1" si="1152">-F1011</f>
        <v>0.40818750000000004</v>
      </c>
      <c r="G1015" s="57">
        <f t="shared" ca="1" si="1152"/>
        <v>0.42018749999999999</v>
      </c>
      <c r="H1015" s="57">
        <f t="shared" ca="1" si="1152"/>
        <v>0.43218750000000006</v>
      </c>
      <c r="I1015" s="57">
        <f t="shared" ca="1" si="1152"/>
        <v>0.44718750000000002</v>
      </c>
      <c r="J1015" s="57"/>
      <c r="K1015" s="57"/>
      <c r="L1015" s="57"/>
      <c r="M1015" s="57">
        <f t="shared" ref="M1015:V1015" ca="1" si="1153">-M1011</f>
        <v>0.86177413528493241</v>
      </c>
      <c r="N1015" s="57">
        <f t="shared" ca="1" si="1153"/>
        <v>2.1287714737954224</v>
      </c>
      <c r="O1015" s="57">
        <f t="shared" ca="1" si="1153"/>
        <v>2.2675962915709298</v>
      </c>
      <c r="P1015" s="57">
        <f t="shared" ca="1" si="1153"/>
        <v>2.3077208394192117</v>
      </c>
      <c r="Q1015" s="57">
        <f t="shared" ca="1" si="1153"/>
        <v>2.3906460177531339</v>
      </c>
      <c r="R1015" s="57">
        <f t="shared" ca="1" si="1153"/>
        <v>2.9428980769911544</v>
      </c>
      <c r="S1015" s="57">
        <f t="shared" ca="1" si="1153"/>
        <v>3.2935351343614143</v>
      </c>
      <c r="T1015" s="57">
        <f t="shared" ca="1" si="1153"/>
        <v>3.3908875168313957</v>
      </c>
      <c r="U1015" s="57">
        <f t="shared" ca="1" si="1153"/>
        <v>3.7788539454085899</v>
      </c>
      <c r="V1015" s="57">
        <f t="shared" ca="1" si="1153"/>
        <v>3.8350237749837084</v>
      </c>
    </row>
    <row r="1016" spans="2:22" s="35" customFormat="1" ht="13.5" customHeight="1" outlineLevel="1">
      <c r="B1016" s="167" t="s">
        <v>456</v>
      </c>
      <c r="C1016" s="167"/>
      <c r="D1016" s="167"/>
      <c r="E1016" s="167"/>
      <c r="F1016" s="326">
        <f t="shared" ref="F1016:I1016" ca="1" si="1154">SUM(F1014:F1015)</f>
        <v>4.762228318750001</v>
      </c>
      <c r="G1016" s="326">
        <f t="shared" ca="1" si="1154"/>
        <v>4.9022295187499996</v>
      </c>
      <c r="H1016" s="326">
        <f t="shared" ca="1" si="1154"/>
        <v>5.0422307187500017</v>
      </c>
      <c r="I1016" s="326">
        <f t="shared" ca="1" si="1154"/>
        <v>5.2172322187500013</v>
      </c>
      <c r="J1016" s="326"/>
      <c r="K1016" s="326"/>
      <c r="L1016" s="326"/>
      <c r="M1016" s="326">
        <f t="shared" ref="M1016:V1016" ca="1" si="1155">SUM(M1014:M1015)</f>
        <v>10.054117755737741</v>
      </c>
      <c r="N1016" s="326">
        <f t="shared" ca="1" si="1155"/>
        <v>24.835880071427312</v>
      </c>
      <c r="O1016" s="326">
        <f t="shared" ca="1" si="1155"/>
        <v>26.455516827956675</v>
      </c>
      <c r="P1016" s="326">
        <f t="shared" ca="1" si="1155"/>
        <v>26.923640565308077</v>
      </c>
      <c r="Q1016" s="326">
        <f t="shared" ca="1" si="1155"/>
        <v>27.891109271721678</v>
      </c>
      <c r="R1016" s="326">
        <f t="shared" ca="1" si="1155"/>
        <v>34.334105188037839</v>
      </c>
      <c r="S1016" s="326">
        <f t="shared" ca="1" si="1155"/>
        <v>38.424905921063271</v>
      </c>
      <c r="T1016" s="326">
        <f t="shared" ca="1" si="1155"/>
        <v>39.560693451784637</v>
      </c>
      <c r="U1016" s="326">
        <f t="shared" ca="1" si="1155"/>
        <v>44.087007248494764</v>
      </c>
      <c r="V1016" s="326">
        <f t="shared" ca="1" si="1155"/>
        <v>44.742327543854103</v>
      </c>
    </row>
    <row r="1017" spans="2:22" s="35" customFormat="1" ht="13.5" customHeight="1" outlineLevel="1">
      <c r="B1017" s="38" t="s">
        <v>457</v>
      </c>
      <c r="C1017" s="38"/>
      <c r="D1017" s="38"/>
      <c r="E1017" s="38"/>
      <c r="F1017" s="57">
        <f t="shared" ref="F1017:I1017" ca="1" si="1156">F1018-F1016</f>
        <v>0</v>
      </c>
      <c r="G1017" s="57">
        <f t="shared" ca="1" si="1156"/>
        <v>0</v>
      </c>
      <c r="H1017" s="57">
        <f t="shared" ca="1" si="1156"/>
        <v>0</v>
      </c>
      <c r="I1017" s="57">
        <f t="shared" ca="1" si="1156"/>
        <v>0</v>
      </c>
      <c r="J1017" s="57"/>
      <c r="K1017" s="57"/>
      <c r="L1017" s="57"/>
      <c r="M1017" s="57">
        <f t="shared" ref="M1017:V1017" ca="1" si="1157">M1018-M1016</f>
        <v>-0.2850024428571416</v>
      </c>
      <c r="N1017" s="57">
        <f t="shared" ca="1" si="1157"/>
        <v>-0.38000325714284955</v>
      </c>
      <c r="O1017" s="57">
        <f t="shared" ca="1" si="1157"/>
        <v>-0.3800032571428531</v>
      </c>
      <c r="P1017" s="57">
        <f t="shared" ca="1" si="1157"/>
        <v>-0.380003257142846</v>
      </c>
      <c r="Q1017" s="57">
        <f t="shared" ca="1" si="1157"/>
        <v>-0.38000325714286021</v>
      </c>
      <c r="R1017" s="57">
        <f t="shared" ca="1" si="1157"/>
        <v>-0.23562701964285537</v>
      </c>
      <c r="S1017" s="57">
        <f t="shared" ca="1" si="1157"/>
        <v>-0.18750160714284902</v>
      </c>
      <c r="T1017" s="57">
        <f t="shared" ca="1" si="1157"/>
        <v>-4.6875401785712256E-2</v>
      </c>
      <c r="U1017" s="57">
        <f t="shared" ca="1" si="1157"/>
        <v>0</v>
      </c>
      <c r="V1017" s="57">
        <f t="shared" ca="1" si="1157"/>
        <v>0</v>
      </c>
    </row>
    <row r="1018" spans="2:22" s="35" customFormat="1" ht="13.5" customHeight="1" outlineLevel="1">
      <c r="B1018" s="52" t="s">
        <v>458</v>
      </c>
      <c r="C1018" s="52"/>
      <c r="D1018" s="52"/>
      <c r="E1018" s="52"/>
      <c r="F1018" s="67">
        <f ca="1">F179</f>
        <v>4.762228318750001</v>
      </c>
      <c r="G1018" s="67">
        <f ca="1">G179</f>
        <v>4.9022295187500005</v>
      </c>
      <c r="H1018" s="67">
        <f ca="1">H179</f>
        <v>5.0422307187500017</v>
      </c>
      <c r="I1018" s="67">
        <f ca="1">I179</f>
        <v>5.2172322187500013</v>
      </c>
      <c r="J1018" s="67"/>
      <c r="K1018" s="67"/>
      <c r="L1018" s="67"/>
      <c r="M1018" s="67">
        <f t="shared" ref="M1018:V1018" ca="1" si="1158">M179</f>
        <v>9.769115312880599</v>
      </c>
      <c r="N1018" s="67">
        <f t="shared" ca="1" si="1158"/>
        <v>24.455876814284462</v>
      </c>
      <c r="O1018" s="67">
        <f t="shared" ca="1" si="1158"/>
        <v>26.075513570813822</v>
      </c>
      <c r="P1018" s="67">
        <f t="shared" ca="1" si="1158"/>
        <v>26.543637308165231</v>
      </c>
      <c r="Q1018" s="67">
        <f t="shared" ca="1" si="1158"/>
        <v>27.511106014578818</v>
      </c>
      <c r="R1018" s="67">
        <f t="shared" ca="1" si="1158"/>
        <v>34.098478168394983</v>
      </c>
      <c r="S1018" s="67">
        <f t="shared" ca="1" si="1158"/>
        <v>38.237404313920422</v>
      </c>
      <c r="T1018" s="67">
        <f t="shared" ca="1" si="1158"/>
        <v>39.513818049998925</v>
      </c>
      <c r="U1018" s="67">
        <f t="shared" ca="1" si="1158"/>
        <v>44.087007248494771</v>
      </c>
      <c r="V1018" s="67">
        <f t="shared" ca="1" si="1158"/>
        <v>44.742327543854103</v>
      </c>
    </row>
    <row r="1019" spans="2:22" s="35" customFormat="1" ht="13.5" customHeight="1" outlineLevel="1">
      <c r="B1019" s="38"/>
      <c r="C1019" s="38"/>
      <c r="D1019" s="38"/>
      <c r="E1019" s="38"/>
      <c r="L1019" s="304"/>
      <c r="M1019" s="304"/>
      <c r="N1019" s="304"/>
      <c r="O1019" s="304"/>
      <c r="P1019" s="304"/>
      <c r="Q1019" s="304"/>
      <c r="R1019" s="304"/>
      <c r="S1019" s="304"/>
      <c r="T1019" s="304"/>
      <c r="U1019" s="304"/>
      <c r="V1019" s="304"/>
    </row>
    <row r="1020" spans="2:22" s="35" customFormat="1" ht="13.5" customHeight="1" outlineLevel="1">
      <c r="B1020" s="38" t="s">
        <v>459</v>
      </c>
      <c r="C1020" s="38"/>
      <c r="D1020" s="263"/>
      <c r="E1020" s="38"/>
      <c r="F1020" s="136">
        <f t="shared" ref="F1020" si="1159">E1022</f>
        <v>-8.8279999999999994</v>
      </c>
      <c r="G1020" s="136">
        <f t="shared" ref="G1020" ca="1" si="1160">F1022</f>
        <v>-8.8279999999999994</v>
      </c>
      <c r="H1020" s="136">
        <f t="shared" ref="H1020" ca="1" si="1161">G1022</f>
        <v>-8.8279999999999994</v>
      </c>
      <c r="I1020" s="136">
        <f t="shared" ref="I1020" ca="1" si="1162">H1022</f>
        <v>-8.8279999999999994</v>
      </c>
      <c r="J1020" s="136"/>
      <c r="K1020" s="136"/>
      <c r="L1020" s="136"/>
      <c r="M1020" s="136">
        <f t="shared" ref="M1020" ca="1" si="1163">L1022</f>
        <v>37.006372811171865</v>
      </c>
      <c r="N1020" s="136">
        <f t="shared" ref="N1020" ca="1" si="1164">M1022</f>
        <v>36.721370368314723</v>
      </c>
      <c r="O1020" s="136">
        <f t="shared" ref="O1020" ca="1" si="1165">N1022</f>
        <v>36.341367111171877</v>
      </c>
      <c r="P1020" s="136">
        <f t="shared" ref="P1020" ca="1" si="1166">O1022</f>
        <v>35.961363854029024</v>
      </c>
      <c r="Q1020" s="136">
        <f t="shared" ref="Q1020" ca="1" si="1167">P1022</f>
        <v>35.581360596886178</v>
      </c>
      <c r="R1020" s="136">
        <f t="shared" ref="R1020" ca="1" si="1168">Q1022</f>
        <v>35.201357339743318</v>
      </c>
      <c r="S1020" s="136">
        <f t="shared" ref="S1020" ca="1" si="1169">R1022</f>
        <v>34.965730320100462</v>
      </c>
      <c r="T1020" s="136">
        <f t="shared" ref="T1020" ca="1" si="1170">S1022</f>
        <v>34.778228712957613</v>
      </c>
      <c r="U1020" s="136">
        <f t="shared" ref="U1020" ca="1" si="1171">T1022</f>
        <v>34.731353311171901</v>
      </c>
      <c r="V1020" s="136">
        <f t="shared" ref="V1020" ca="1" si="1172">U1022</f>
        <v>34.731353311171901</v>
      </c>
    </row>
    <row r="1021" spans="2:22" s="35" customFormat="1" ht="13.5" customHeight="1" outlineLevel="1">
      <c r="B1021" s="38" t="s">
        <v>460</v>
      </c>
      <c r="C1021" s="38"/>
      <c r="D1021" s="263"/>
      <c r="E1021" s="38"/>
      <c r="F1021" s="57">
        <f t="shared" ref="F1021:I1021" ca="1" si="1173">F1017</f>
        <v>0</v>
      </c>
      <c r="G1021" s="57">
        <f t="shared" ca="1" si="1173"/>
        <v>0</v>
      </c>
      <c r="H1021" s="57">
        <f t="shared" ca="1" si="1173"/>
        <v>0</v>
      </c>
      <c r="I1021" s="57">
        <f t="shared" ca="1" si="1173"/>
        <v>0</v>
      </c>
      <c r="J1021" s="57"/>
      <c r="K1021" s="57"/>
      <c r="L1021" s="57"/>
      <c r="M1021" s="57">
        <f t="shared" ref="M1021:V1021" ca="1" si="1174">M1017</f>
        <v>-0.2850024428571416</v>
      </c>
      <c r="N1021" s="57">
        <f t="shared" ca="1" si="1174"/>
        <v>-0.38000325714284955</v>
      </c>
      <c r="O1021" s="57">
        <f t="shared" ca="1" si="1174"/>
        <v>-0.3800032571428531</v>
      </c>
      <c r="P1021" s="57">
        <f t="shared" ca="1" si="1174"/>
        <v>-0.380003257142846</v>
      </c>
      <c r="Q1021" s="57">
        <f t="shared" ca="1" si="1174"/>
        <v>-0.38000325714286021</v>
      </c>
      <c r="R1021" s="57">
        <f t="shared" ca="1" si="1174"/>
        <v>-0.23562701964285537</v>
      </c>
      <c r="S1021" s="57">
        <f t="shared" ca="1" si="1174"/>
        <v>-0.18750160714284902</v>
      </c>
      <c r="T1021" s="57">
        <f t="shared" ca="1" si="1174"/>
        <v>-4.6875401785712256E-2</v>
      </c>
      <c r="U1021" s="57">
        <f t="shared" ca="1" si="1174"/>
        <v>0</v>
      </c>
      <c r="V1021" s="57">
        <f t="shared" ca="1" si="1174"/>
        <v>0</v>
      </c>
    </row>
    <row r="1022" spans="2:22" s="35" customFormat="1" ht="13.5" customHeight="1" outlineLevel="1">
      <c r="B1022" s="327" t="s">
        <v>461</v>
      </c>
      <c r="C1022" s="327"/>
      <c r="D1022" s="327"/>
      <c r="E1022" s="328">
        <f>E284</f>
        <v>-8.8279999999999994</v>
      </c>
      <c r="F1022" s="329">
        <f t="shared" ref="F1022:I1022" ca="1" si="1175">SUM(F1020:F1021)</f>
        <v>-8.8279999999999994</v>
      </c>
      <c r="G1022" s="329">
        <f t="shared" ca="1" si="1175"/>
        <v>-8.8279999999999994</v>
      </c>
      <c r="H1022" s="329">
        <f t="shared" ca="1" si="1175"/>
        <v>-8.8279999999999994</v>
      </c>
      <c r="I1022" s="329">
        <f t="shared" ca="1" si="1175"/>
        <v>-8.8279999999999994</v>
      </c>
      <c r="J1022" s="329"/>
      <c r="K1022" s="329"/>
      <c r="L1022" s="328">
        <f ca="1">L284</f>
        <v>37.006372811171865</v>
      </c>
      <c r="M1022" s="329">
        <f t="shared" ref="M1022:V1022" ca="1" si="1176">SUM(M1020:M1021)</f>
        <v>36.721370368314723</v>
      </c>
      <c r="N1022" s="329">
        <f t="shared" ca="1" si="1176"/>
        <v>36.341367111171877</v>
      </c>
      <c r="O1022" s="329">
        <f t="shared" ca="1" si="1176"/>
        <v>35.961363854029024</v>
      </c>
      <c r="P1022" s="329">
        <f t="shared" ca="1" si="1176"/>
        <v>35.581360596886178</v>
      </c>
      <c r="Q1022" s="329">
        <f t="shared" ca="1" si="1176"/>
        <v>35.201357339743318</v>
      </c>
      <c r="R1022" s="329">
        <f t="shared" ca="1" si="1176"/>
        <v>34.965730320100462</v>
      </c>
      <c r="S1022" s="329">
        <f t="shared" ca="1" si="1176"/>
        <v>34.778228712957613</v>
      </c>
      <c r="T1022" s="329">
        <f t="shared" ca="1" si="1176"/>
        <v>34.731353311171901</v>
      </c>
      <c r="U1022" s="329">
        <f t="shared" ca="1" si="1176"/>
        <v>34.731353311171901</v>
      </c>
      <c r="V1022" s="329">
        <f t="shared" ca="1" si="1176"/>
        <v>34.731353311171901</v>
      </c>
    </row>
    <row r="1023" spans="2:22" ht="13.5" customHeight="1" outlineLevel="1"/>
    <row r="1024" spans="2:22" s="35" customFormat="1" ht="13.5" customHeight="1" outlineLevel="1">
      <c r="B1024" s="46" t="s">
        <v>462</v>
      </c>
      <c r="C1024" s="47"/>
      <c r="D1024" s="47"/>
      <c r="E1024" s="47"/>
      <c r="F1024" s="47"/>
      <c r="G1024" s="47"/>
      <c r="H1024" s="47"/>
      <c r="I1024" s="47"/>
      <c r="J1024" s="47"/>
      <c r="K1024" s="47"/>
      <c r="L1024" s="47"/>
      <c r="M1024" s="47"/>
      <c r="N1024" s="47"/>
      <c r="O1024" s="47"/>
      <c r="P1024" s="47"/>
      <c r="Q1024" s="47"/>
      <c r="R1024" s="47"/>
      <c r="S1024" s="47"/>
      <c r="T1024" s="47"/>
      <c r="U1024" s="47"/>
      <c r="V1024" s="48"/>
    </row>
    <row r="1025" spans="2:22" ht="5.0999999999999996" customHeight="1" outlineLevel="1">
      <c r="K1025" s="223"/>
    </row>
    <row r="1026" spans="2:22" s="35" customFormat="1" outlineLevel="1">
      <c r="B1026" s="38" t="s">
        <v>512</v>
      </c>
      <c r="C1026" s="38"/>
      <c r="D1026" s="38"/>
      <c r="E1026" s="533">
        <v>0</v>
      </c>
      <c r="F1026" s="533">
        <v>0</v>
      </c>
      <c r="G1026" s="533">
        <v>0</v>
      </c>
      <c r="H1026" s="533">
        <v>0</v>
      </c>
      <c r="I1026" s="533">
        <v>0</v>
      </c>
      <c r="J1026" s="38"/>
      <c r="K1026" s="223"/>
      <c r="L1026" s="38"/>
      <c r="M1026" s="330">
        <f t="shared" ref="M1026:V1026" ca="1" si="1177">$V$18*M$148</f>
        <v>12.008110927124999</v>
      </c>
      <c r="N1026" s="330">
        <f t="shared" ca="1" si="1177"/>
        <v>16.010814569499999</v>
      </c>
      <c r="O1026" s="330">
        <f t="shared" ca="1" si="1177"/>
        <v>16.010814569499999</v>
      </c>
      <c r="P1026" s="330">
        <f t="shared" ca="1" si="1177"/>
        <v>16.010814569499999</v>
      </c>
      <c r="Q1026" s="330">
        <f t="shared" ca="1" si="1177"/>
        <v>16.010814569499999</v>
      </c>
      <c r="R1026" s="330">
        <f t="shared" ca="1" si="1177"/>
        <v>16.010814569499999</v>
      </c>
      <c r="S1026" s="330">
        <f t="shared" ca="1" si="1177"/>
        <v>16.010814569499999</v>
      </c>
      <c r="T1026" s="330">
        <f t="shared" ca="1" si="1177"/>
        <v>16.010814569499999</v>
      </c>
      <c r="U1026" s="330">
        <f t="shared" ca="1" si="1177"/>
        <v>16.010814569499999</v>
      </c>
      <c r="V1026" s="330">
        <f t="shared" ca="1" si="1177"/>
        <v>16.010814569499999</v>
      </c>
    </row>
    <row r="1027" spans="2:22" ht="13.5" customHeight="1" outlineLevel="1">
      <c r="B1027" s="38" t="s">
        <v>382</v>
      </c>
      <c r="E1027" s="269">
        <f>$V$21</f>
        <v>15</v>
      </c>
      <c r="F1027" s="190">
        <f>MAX(0,E1027-F$148)</f>
        <v>14.75</v>
      </c>
      <c r="G1027" s="190">
        <f t="shared" ref="G1027:I1027" si="1178">MAX(0,F1027-G$148)</f>
        <v>14.5</v>
      </c>
      <c r="H1027" s="190">
        <f t="shared" si="1178"/>
        <v>14.25</v>
      </c>
      <c r="I1027" s="190">
        <f t="shared" si="1178"/>
        <v>14</v>
      </c>
      <c r="J1027" s="269">
        <f t="shared" ref="J1027" ca="1" si="1179">OFFSET(D1027,0,MATCH(J$990,E$990:I$990))</f>
        <v>14.25</v>
      </c>
      <c r="K1027" s="223"/>
      <c r="L1027" s="269">
        <f ca="1">J1027</f>
        <v>14.25</v>
      </c>
      <c r="M1027" s="190">
        <f ca="1">MAX(0,L1027-M$148)</f>
        <v>13.5</v>
      </c>
      <c r="N1027" s="190">
        <f t="shared" ref="N1027:V1027" ca="1" si="1180">MAX(0,M1027-N$148)</f>
        <v>12.5</v>
      </c>
      <c r="O1027" s="190">
        <f t="shared" ca="1" si="1180"/>
        <v>11.5</v>
      </c>
      <c r="P1027" s="190">
        <f t="shared" ca="1" si="1180"/>
        <v>10.5</v>
      </c>
      <c r="Q1027" s="190">
        <f t="shared" ca="1" si="1180"/>
        <v>9.5</v>
      </c>
      <c r="R1027" s="190">
        <f t="shared" ca="1" si="1180"/>
        <v>8.5</v>
      </c>
      <c r="S1027" s="190">
        <f t="shared" ca="1" si="1180"/>
        <v>7.5</v>
      </c>
      <c r="T1027" s="190">
        <f t="shared" ca="1" si="1180"/>
        <v>6.5</v>
      </c>
      <c r="U1027" s="190">
        <f t="shared" ca="1" si="1180"/>
        <v>5.5</v>
      </c>
      <c r="V1027" s="190">
        <f t="shared" ca="1" si="1180"/>
        <v>4.5</v>
      </c>
    </row>
    <row r="1028" spans="2:22" ht="13.5" customHeight="1" outlineLevel="1">
      <c r="K1028" s="223"/>
    </row>
    <row r="1029" spans="2:22" ht="13.5" customHeight="1" outlineLevel="1">
      <c r="B1029" s="150" t="s">
        <v>468</v>
      </c>
      <c r="D1029" s="83"/>
      <c r="E1029" s="83"/>
      <c r="F1029" s="83"/>
      <c r="K1029" s="223"/>
    </row>
    <row r="1030" spans="2:22" ht="13.5" customHeight="1" outlineLevel="1">
      <c r="B1030" s="38" t="s">
        <v>466</v>
      </c>
      <c r="C1030" s="263"/>
      <c r="D1030" s="263"/>
      <c r="E1030" s="263"/>
      <c r="F1030" s="136">
        <f t="shared" ref="F1030" si="1181">E1033</f>
        <v>0</v>
      </c>
      <c r="G1030" s="136">
        <f t="shared" ref="G1030" ca="1" si="1182">F1033</f>
        <v>0</v>
      </c>
      <c r="H1030" s="136">
        <f t="shared" ref="H1030" ca="1" si="1183">G1033</f>
        <v>0</v>
      </c>
      <c r="I1030" s="136">
        <f t="shared" ref="I1030" ca="1" si="1184">H1033</f>
        <v>0</v>
      </c>
      <c r="K1030" s="223"/>
      <c r="M1030" s="136">
        <f t="shared" ref="M1030:N1030" ca="1" si="1185">L1033</f>
        <v>0</v>
      </c>
      <c r="N1030" s="136">
        <f t="shared" ca="1" si="1185"/>
        <v>0</v>
      </c>
      <c r="O1030" s="136">
        <f t="shared" ref="O1030" ca="1" si="1186">N1033</f>
        <v>0</v>
      </c>
      <c r="P1030" s="136">
        <f t="shared" ref="P1030" ca="1" si="1187">O1033</f>
        <v>0</v>
      </c>
      <c r="Q1030" s="136">
        <f t="shared" ref="Q1030" ca="1" si="1188">P1033</f>
        <v>0</v>
      </c>
      <c r="R1030" s="136">
        <f t="shared" ref="R1030" ca="1" si="1189">Q1033</f>
        <v>0</v>
      </c>
      <c r="S1030" s="136">
        <f t="shared" ref="S1030" ca="1" si="1190">R1033</f>
        <v>0</v>
      </c>
      <c r="T1030" s="136">
        <f t="shared" ref="T1030" ca="1" si="1191">S1033</f>
        <v>0</v>
      </c>
      <c r="U1030" s="136">
        <f t="shared" ref="U1030" ca="1" si="1192">T1033</f>
        <v>0</v>
      </c>
      <c r="V1030" s="136">
        <f t="shared" ref="V1030" ca="1" si="1193">U1033</f>
        <v>0</v>
      </c>
    </row>
    <row r="1031" spans="2:22" ht="13.5" customHeight="1" outlineLevel="1">
      <c r="B1031" s="38" t="s">
        <v>450</v>
      </c>
      <c r="C1031" s="263"/>
      <c r="D1031" s="263"/>
      <c r="E1031" s="263"/>
      <c r="F1031" s="57">
        <f ca="1">IF(F1008&gt;0,-MIN(F1008,F1030,F1026+F1036),0)</f>
        <v>0</v>
      </c>
      <c r="G1031" s="57">
        <f ca="1">IF(G1008&gt;0,-MIN(G1008,G1030,G1026+G1036),0)</f>
        <v>0</v>
      </c>
      <c r="H1031" s="57">
        <f ca="1">IF(H1008&gt;0,-MIN(H1008,H1030,H1026+H1036),0)</f>
        <v>0</v>
      </c>
      <c r="I1031" s="57">
        <f ca="1">IF(I1008&gt;0,-MIN(I1008,I1030,I1026+I1036),0)</f>
        <v>0</v>
      </c>
      <c r="K1031" s="223"/>
      <c r="M1031" s="57">
        <f t="shared" ref="M1031:V1031" ca="1" si="1194">IF(M1008&gt;0,-MIN(M1008,M1030,M1026+M1036),0)</f>
        <v>0</v>
      </c>
      <c r="N1031" s="57">
        <f t="shared" ca="1" si="1194"/>
        <v>0</v>
      </c>
      <c r="O1031" s="57">
        <f t="shared" ca="1" si="1194"/>
        <v>0</v>
      </c>
      <c r="P1031" s="57">
        <f t="shared" ca="1" si="1194"/>
        <v>0</v>
      </c>
      <c r="Q1031" s="57">
        <f t="shared" ca="1" si="1194"/>
        <v>0</v>
      </c>
      <c r="R1031" s="57">
        <f t="shared" ca="1" si="1194"/>
        <v>0</v>
      </c>
      <c r="S1031" s="57">
        <f t="shared" ca="1" si="1194"/>
        <v>0</v>
      </c>
      <c r="T1031" s="57">
        <f t="shared" ca="1" si="1194"/>
        <v>0</v>
      </c>
      <c r="U1031" s="57">
        <f t="shared" ca="1" si="1194"/>
        <v>0</v>
      </c>
      <c r="V1031" s="57">
        <f t="shared" ca="1" si="1194"/>
        <v>0</v>
      </c>
    </row>
    <row r="1032" spans="2:22" ht="13.5" customHeight="1" outlineLevel="1">
      <c r="B1032" s="38" t="s">
        <v>469</v>
      </c>
      <c r="C1032" s="263"/>
      <c r="D1032" s="263"/>
      <c r="E1032" s="263"/>
      <c r="F1032" s="57">
        <f t="shared" ref="F1032:I1032" si="1195">IF(F1027&gt;0,0,-SUM(F1030:F1031))</f>
        <v>0</v>
      </c>
      <c r="G1032" s="57">
        <f t="shared" si="1195"/>
        <v>0</v>
      </c>
      <c r="H1032" s="57">
        <f t="shared" si="1195"/>
        <v>0</v>
      </c>
      <c r="I1032" s="57">
        <f t="shared" si="1195"/>
        <v>0</v>
      </c>
      <c r="J1032" s="263"/>
      <c r="K1032" s="223"/>
      <c r="M1032" s="57">
        <f t="shared" ref="M1032" ca="1" si="1196">IF(M1027&gt;0,0,-SUM(M1030:M1031))</f>
        <v>0</v>
      </c>
      <c r="N1032" s="57">
        <f t="shared" ref="N1032:V1032" ca="1" si="1197">IF(N1027&gt;0,0,-SUM(N1030:N1031))</f>
        <v>0</v>
      </c>
      <c r="O1032" s="57">
        <f t="shared" ca="1" si="1197"/>
        <v>0</v>
      </c>
      <c r="P1032" s="57">
        <f t="shared" ca="1" si="1197"/>
        <v>0</v>
      </c>
      <c r="Q1032" s="57">
        <f t="shared" ca="1" si="1197"/>
        <v>0</v>
      </c>
      <c r="R1032" s="57">
        <f t="shared" ca="1" si="1197"/>
        <v>0</v>
      </c>
      <c r="S1032" s="57">
        <f t="shared" ca="1" si="1197"/>
        <v>0</v>
      </c>
      <c r="T1032" s="57">
        <f t="shared" ca="1" si="1197"/>
        <v>0</v>
      </c>
      <c r="U1032" s="57">
        <f t="shared" ca="1" si="1197"/>
        <v>0</v>
      </c>
      <c r="V1032" s="57">
        <f t="shared" ca="1" si="1197"/>
        <v>0</v>
      </c>
    </row>
    <row r="1033" spans="2:22" ht="13.5" customHeight="1" outlineLevel="1">
      <c r="B1033" s="52" t="s">
        <v>467</v>
      </c>
      <c r="C1033" s="52"/>
      <c r="D1033" s="52"/>
      <c r="E1033" s="534">
        <v>0</v>
      </c>
      <c r="F1033" s="67">
        <f t="shared" ref="F1033:I1033" ca="1" si="1198">SUM(F1030:F1032)</f>
        <v>0</v>
      </c>
      <c r="G1033" s="67">
        <f t="shared" ca="1" si="1198"/>
        <v>0</v>
      </c>
      <c r="H1033" s="67">
        <f t="shared" ca="1" si="1198"/>
        <v>0</v>
      </c>
      <c r="I1033" s="67">
        <f t="shared" ca="1" si="1198"/>
        <v>0</v>
      </c>
      <c r="J1033" s="52"/>
      <c r="K1033" s="279"/>
      <c r="L1033" s="316">
        <f ca="1">IF(LBO,J1047,0)</f>
        <v>0</v>
      </c>
      <c r="M1033" s="67">
        <f t="shared" ref="M1033" ca="1" si="1199">SUM(M1030:M1032)</f>
        <v>0</v>
      </c>
      <c r="N1033" s="67">
        <f t="shared" ref="N1033:V1033" ca="1" si="1200">SUM(N1030:N1032)</f>
        <v>0</v>
      </c>
      <c r="O1033" s="67">
        <f t="shared" ca="1" si="1200"/>
        <v>0</v>
      </c>
      <c r="P1033" s="67">
        <f t="shared" ca="1" si="1200"/>
        <v>0</v>
      </c>
      <c r="Q1033" s="67">
        <f t="shared" ca="1" si="1200"/>
        <v>0</v>
      </c>
      <c r="R1033" s="67">
        <f t="shared" ca="1" si="1200"/>
        <v>0</v>
      </c>
      <c r="S1033" s="67">
        <f t="shared" ca="1" si="1200"/>
        <v>0</v>
      </c>
      <c r="T1033" s="67">
        <f t="shared" ca="1" si="1200"/>
        <v>0</v>
      </c>
      <c r="U1033" s="67">
        <f t="shared" ca="1" si="1200"/>
        <v>0</v>
      </c>
      <c r="V1033" s="67">
        <f t="shared" ca="1" si="1200"/>
        <v>0</v>
      </c>
    </row>
    <row r="1034" spans="2:22" ht="13.5" customHeight="1" outlineLevel="1">
      <c r="K1034" s="223"/>
    </row>
    <row r="1035" spans="2:22" ht="13.5" customHeight="1" outlineLevel="1">
      <c r="B1035" s="150" t="s">
        <v>470</v>
      </c>
      <c r="D1035" s="83"/>
      <c r="E1035" s="83"/>
      <c r="F1035" s="83"/>
      <c r="G1035" s="83"/>
      <c r="H1035" s="83"/>
      <c r="I1035" s="83"/>
      <c r="J1035" s="83"/>
      <c r="K1035" s="223"/>
    </row>
    <row r="1036" spans="2:22" ht="13.5" customHeight="1" outlineLevel="1">
      <c r="B1036" s="38" t="s">
        <v>466</v>
      </c>
      <c r="F1036" s="136">
        <f t="shared" ref="F1036" si="1201">E1039</f>
        <v>0</v>
      </c>
      <c r="G1036" s="136">
        <f t="shared" ref="G1036" ca="1" si="1202">F1039</f>
        <v>0</v>
      </c>
      <c r="H1036" s="136">
        <f t="shared" ref="H1036" ca="1" si="1203">G1039</f>
        <v>0</v>
      </c>
      <c r="I1036" s="136">
        <f t="shared" ref="I1036" ca="1" si="1204">H1039</f>
        <v>0</v>
      </c>
      <c r="K1036" s="223"/>
      <c r="M1036" s="136">
        <f t="shared" ref="M1036" si="1205">L1039</f>
        <v>0</v>
      </c>
      <c r="N1036" s="136">
        <f t="shared" ref="N1036" ca="1" si="1206">M1039</f>
        <v>0</v>
      </c>
      <c r="O1036" s="136">
        <f t="shared" ref="O1036" ca="1" si="1207">N1039</f>
        <v>0</v>
      </c>
      <c r="P1036" s="136">
        <f t="shared" ref="P1036" ca="1" si="1208">O1039</f>
        <v>0</v>
      </c>
      <c r="Q1036" s="136">
        <f t="shared" ref="Q1036" ca="1" si="1209">P1039</f>
        <v>0</v>
      </c>
      <c r="R1036" s="136">
        <f t="shared" ref="R1036" ca="1" si="1210">Q1039</f>
        <v>0</v>
      </c>
      <c r="S1036" s="136">
        <f t="shared" ref="S1036" ca="1" si="1211">R1039</f>
        <v>0</v>
      </c>
      <c r="T1036" s="136">
        <f t="shared" ref="T1036" ca="1" si="1212">S1039</f>
        <v>0</v>
      </c>
      <c r="U1036" s="136">
        <f t="shared" ref="U1036" ca="1" si="1213">T1039</f>
        <v>0</v>
      </c>
      <c r="V1036" s="136">
        <f t="shared" ref="V1036" ca="1" si="1214">U1039</f>
        <v>0</v>
      </c>
    </row>
    <row r="1037" spans="2:22" ht="13.5" customHeight="1" outlineLevel="1">
      <c r="B1037" s="38" t="s">
        <v>471</v>
      </c>
      <c r="F1037" s="83">
        <f ca="1">IF(F1033&gt;0,MAX(0,F1026+F1031),0)</f>
        <v>0</v>
      </c>
      <c r="G1037" s="83">
        <f ca="1">IF(G1033&gt;0,MAX(0,G1026+G1031),0)</f>
        <v>0</v>
      </c>
      <c r="H1037" s="83">
        <f ca="1">IF(H1033&gt;0,MAX(0,H1026+H1031),0)</f>
        <v>0</v>
      </c>
      <c r="I1037" s="83">
        <f ca="1">IF(I1033&gt;0,MAX(0,I1026+I1031),0)</f>
        <v>0</v>
      </c>
      <c r="K1037" s="223"/>
      <c r="M1037" s="83">
        <f t="shared" ref="M1037:V1037" ca="1" si="1215">IF(M1033&gt;0,MAX(0,M1026+M1031),0)</f>
        <v>0</v>
      </c>
      <c r="N1037" s="83">
        <f t="shared" ca="1" si="1215"/>
        <v>0</v>
      </c>
      <c r="O1037" s="83">
        <f t="shared" ca="1" si="1215"/>
        <v>0</v>
      </c>
      <c r="P1037" s="83">
        <f t="shared" ca="1" si="1215"/>
        <v>0</v>
      </c>
      <c r="Q1037" s="83">
        <f t="shared" ca="1" si="1215"/>
        <v>0</v>
      </c>
      <c r="R1037" s="83">
        <f t="shared" ca="1" si="1215"/>
        <v>0</v>
      </c>
      <c r="S1037" s="83">
        <f t="shared" ca="1" si="1215"/>
        <v>0</v>
      </c>
      <c r="T1037" s="83">
        <f t="shared" ca="1" si="1215"/>
        <v>0</v>
      </c>
      <c r="U1037" s="83">
        <f t="shared" ca="1" si="1215"/>
        <v>0</v>
      </c>
      <c r="V1037" s="83">
        <f t="shared" ca="1" si="1215"/>
        <v>0</v>
      </c>
    </row>
    <row r="1038" spans="2:22" ht="13.5" customHeight="1" outlineLevel="1">
      <c r="B1038" s="38" t="s">
        <v>472</v>
      </c>
      <c r="F1038" s="83">
        <f ca="1">-MAX(0,-F1031-F1026)</f>
        <v>0</v>
      </c>
      <c r="G1038" s="83">
        <f ca="1">-MAX(0,-G1031-G1026)</f>
        <v>0</v>
      </c>
      <c r="H1038" s="83">
        <f ca="1">-MAX(0,-H1031-H1026)</f>
        <v>0</v>
      </c>
      <c r="I1038" s="83">
        <f ca="1">-MAX(0,-I1031-I1026)</f>
        <v>0</v>
      </c>
      <c r="K1038" s="223"/>
      <c r="M1038" s="83">
        <f t="shared" ref="M1038:V1038" ca="1" si="1216">-MAX(0,-M1031-M1026)</f>
        <v>0</v>
      </c>
      <c r="N1038" s="83">
        <f t="shared" ca="1" si="1216"/>
        <v>0</v>
      </c>
      <c r="O1038" s="83">
        <f t="shared" ca="1" si="1216"/>
        <v>0</v>
      </c>
      <c r="P1038" s="83">
        <f t="shared" ca="1" si="1216"/>
        <v>0</v>
      </c>
      <c r="Q1038" s="83">
        <f t="shared" ca="1" si="1216"/>
        <v>0</v>
      </c>
      <c r="R1038" s="83">
        <f t="shared" ca="1" si="1216"/>
        <v>0</v>
      </c>
      <c r="S1038" s="83">
        <f t="shared" ca="1" si="1216"/>
        <v>0</v>
      </c>
      <c r="T1038" s="83">
        <f t="shared" ca="1" si="1216"/>
        <v>0</v>
      </c>
      <c r="U1038" s="83">
        <f t="shared" ca="1" si="1216"/>
        <v>0</v>
      </c>
      <c r="V1038" s="83">
        <f t="shared" ca="1" si="1216"/>
        <v>0</v>
      </c>
    </row>
    <row r="1039" spans="2:22" ht="13.5" customHeight="1" outlineLevel="1">
      <c r="B1039" s="52" t="s">
        <v>467</v>
      </c>
      <c r="C1039" s="52"/>
      <c r="D1039" s="52"/>
      <c r="E1039" s="534">
        <v>0</v>
      </c>
      <c r="F1039" s="72">
        <f t="shared" ref="F1039:I1039" ca="1" si="1217">SUM(F1036:F1038)</f>
        <v>0</v>
      </c>
      <c r="G1039" s="72">
        <f t="shared" ca="1" si="1217"/>
        <v>0</v>
      </c>
      <c r="H1039" s="72">
        <f t="shared" ca="1" si="1217"/>
        <v>0</v>
      </c>
      <c r="I1039" s="72">
        <f t="shared" ca="1" si="1217"/>
        <v>0</v>
      </c>
      <c r="J1039" s="52"/>
      <c r="K1039" s="279"/>
      <c r="L1039" s="534">
        <v>0</v>
      </c>
      <c r="M1039" s="72">
        <f t="shared" ref="M1039:V1039" ca="1" si="1218">SUM(M1036:M1038)</f>
        <v>0</v>
      </c>
      <c r="N1039" s="72">
        <f t="shared" ca="1" si="1218"/>
        <v>0</v>
      </c>
      <c r="O1039" s="72">
        <f t="shared" ca="1" si="1218"/>
        <v>0</v>
      </c>
      <c r="P1039" s="72">
        <f t="shared" ca="1" si="1218"/>
        <v>0</v>
      </c>
      <c r="Q1039" s="72">
        <f t="shared" ca="1" si="1218"/>
        <v>0</v>
      </c>
      <c r="R1039" s="72">
        <f t="shared" ca="1" si="1218"/>
        <v>0</v>
      </c>
      <c r="S1039" s="72">
        <f t="shared" ca="1" si="1218"/>
        <v>0</v>
      </c>
      <c r="T1039" s="72">
        <f t="shared" ca="1" si="1218"/>
        <v>0</v>
      </c>
      <c r="U1039" s="72">
        <f t="shared" ca="1" si="1218"/>
        <v>0</v>
      </c>
      <c r="V1039" s="72">
        <f t="shared" ca="1" si="1218"/>
        <v>0</v>
      </c>
    </row>
    <row r="1040" spans="2:22" ht="13.5" customHeight="1" outlineLevel="1">
      <c r="K1040" s="223"/>
    </row>
    <row r="1041" spans="2:22" s="35" customFormat="1" ht="13.5" customHeight="1" outlineLevel="1">
      <c r="B1041" s="46" t="s">
        <v>473</v>
      </c>
      <c r="C1041" s="47"/>
      <c r="D1041" s="47"/>
      <c r="E1041" s="47"/>
      <c r="F1041" s="47"/>
      <c r="G1041" s="47"/>
      <c r="H1041" s="47"/>
      <c r="I1041" s="47"/>
      <c r="J1041" s="47"/>
      <c r="K1041" s="47"/>
      <c r="L1041" s="47"/>
      <c r="M1041" s="47"/>
      <c r="N1041" s="47"/>
      <c r="O1041" s="47"/>
      <c r="P1041" s="47"/>
      <c r="Q1041" s="47"/>
      <c r="R1041" s="47"/>
      <c r="S1041" s="47"/>
      <c r="T1041" s="47"/>
      <c r="U1041" s="47"/>
      <c r="V1041" s="48"/>
    </row>
    <row r="1042" spans="2:22" ht="5.0999999999999996" customHeight="1" outlineLevel="1">
      <c r="B1042" s="143"/>
      <c r="K1042" s="223"/>
    </row>
    <row r="1043" spans="2:22" ht="13.5" customHeight="1" outlineLevel="1">
      <c r="B1043" s="38" t="s">
        <v>466</v>
      </c>
      <c r="C1043" s="263"/>
      <c r="D1043" s="263"/>
      <c r="F1043" s="136">
        <f>E1047</f>
        <v>0</v>
      </c>
      <c r="G1043" s="136">
        <f t="shared" ref="G1043:I1043" ca="1" si="1219">F1047</f>
        <v>0</v>
      </c>
      <c r="H1043" s="136">
        <f t="shared" ca="1" si="1219"/>
        <v>0</v>
      </c>
      <c r="I1043" s="136">
        <f t="shared" ca="1" si="1219"/>
        <v>0</v>
      </c>
      <c r="J1043" s="296"/>
      <c r="K1043" s="223"/>
      <c r="M1043" s="136">
        <f>L1047</f>
        <v>0</v>
      </c>
      <c r="N1043" s="136">
        <f t="shared" ref="N1043:V1043" ca="1" si="1220">M1047</f>
        <v>0</v>
      </c>
      <c r="O1043" s="136">
        <f t="shared" ca="1" si="1220"/>
        <v>0</v>
      </c>
      <c r="P1043" s="136">
        <f t="shared" ca="1" si="1220"/>
        <v>0</v>
      </c>
      <c r="Q1043" s="136">
        <f t="shared" ca="1" si="1220"/>
        <v>0</v>
      </c>
      <c r="R1043" s="136">
        <f t="shared" ca="1" si="1220"/>
        <v>0</v>
      </c>
      <c r="S1043" s="136">
        <f t="shared" ca="1" si="1220"/>
        <v>0</v>
      </c>
      <c r="T1043" s="136">
        <f t="shared" ca="1" si="1220"/>
        <v>0</v>
      </c>
      <c r="U1043" s="136">
        <f t="shared" ca="1" si="1220"/>
        <v>0</v>
      </c>
      <c r="V1043" s="136">
        <f t="shared" ca="1" si="1220"/>
        <v>0</v>
      </c>
    </row>
    <row r="1044" spans="2:22" ht="13.5" customHeight="1" outlineLevel="1">
      <c r="B1044" s="38" t="s">
        <v>474</v>
      </c>
      <c r="C1044" s="263"/>
      <c r="D1044" s="263"/>
      <c r="F1044" s="137">
        <f ca="1">MAX(0,-F1008)</f>
        <v>0</v>
      </c>
      <c r="G1044" s="137">
        <f ca="1">MAX(0,-G1008)</f>
        <v>0</v>
      </c>
      <c r="H1044" s="137">
        <f ca="1">MAX(0,-H1008)</f>
        <v>0</v>
      </c>
      <c r="I1044" s="137">
        <f ca="1">MAX(0,-I1008)</f>
        <v>0</v>
      </c>
      <c r="J1044" s="260"/>
      <c r="K1044" s="223"/>
      <c r="M1044" s="57">
        <f t="shared" ref="M1044:V1044" ca="1" si="1221">MAX(0,-M1008)</f>
        <v>0</v>
      </c>
      <c r="N1044" s="57">
        <f t="shared" ca="1" si="1221"/>
        <v>0</v>
      </c>
      <c r="O1044" s="57">
        <f t="shared" ca="1" si="1221"/>
        <v>0</v>
      </c>
      <c r="P1044" s="57">
        <f t="shared" ca="1" si="1221"/>
        <v>0</v>
      </c>
      <c r="Q1044" s="57">
        <f t="shared" ca="1" si="1221"/>
        <v>0</v>
      </c>
      <c r="R1044" s="57">
        <f t="shared" ca="1" si="1221"/>
        <v>0</v>
      </c>
      <c r="S1044" s="57">
        <f t="shared" ca="1" si="1221"/>
        <v>0</v>
      </c>
      <c r="T1044" s="57">
        <f t="shared" ca="1" si="1221"/>
        <v>0</v>
      </c>
      <c r="U1044" s="57">
        <f t="shared" ca="1" si="1221"/>
        <v>0</v>
      </c>
      <c r="V1044" s="57">
        <f t="shared" ca="1" si="1221"/>
        <v>0</v>
      </c>
    </row>
    <row r="1045" spans="2:22" ht="13.5" customHeight="1" outlineLevel="1">
      <c r="B1045" s="38" t="s">
        <v>450</v>
      </c>
      <c r="C1045" s="263"/>
      <c r="D1045" s="263"/>
      <c r="F1045" s="137">
        <f ca="1">IF(F1008+F1031&gt;0,-MIN(F1043+F1044,F1008+F1031),0)</f>
        <v>0</v>
      </c>
      <c r="G1045" s="137">
        <f ca="1">IF(G1008+G1031&gt;0,-MIN(G1043+G1044,G1008+G1031),0)</f>
        <v>0</v>
      </c>
      <c r="H1045" s="137">
        <f ca="1">IF(H1008+H1031&gt;0,-MIN(H1043+H1044,H1008+H1031),0)</f>
        <v>0</v>
      </c>
      <c r="I1045" s="137">
        <f ca="1">IF(I1008+I1031&gt;0,-MIN(I1043+I1044,I1008+I1031),0)</f>
        <v>0</v>
      </c>
      <c r="J1045" s="260"/>
      <c r="K1045" s="223"/>
      <c r="M1045" s="57">
        <f t="shared" ref="M1045:V1045" ca="1" si="1222">IF(M1008+M1031&gt;0,-MIN(M1043+M1044,M1008+M1031),0)</f>
        <v>0</v>
      </c>
      <c r="N1045" s="57">
        <f t="shared" ca="1" si="1222"/>
        <v>0</v>
      </c>
      <c r="O1045" s="57">
        <f t="shared" ca="1" si="1222"/>
        <v>0</v>
      </c>
      <c r="P1045" s="57">
        <f t="shared" ca="1" si="1222"/>
        <v>0</v>
      </c>
      <c r="Q1045" s="57">
        <f t="shared" ca="1" si="1222"/>
        <v>0</v>
      </c>
      <c r="R1045" s="57">
        <f t="shared" ca="1" si="1222"/>
        <v>0</v>
      </c>
      <c r="S1045" s="57">
        <f t="shared" ca="1" si="1222"/>
        <v>0</v>
      </c>
      <c r="T1045" s="57">
        <f t="shared" ca="1" si="1222"/>
        <v>0</v>
      </c>
      <c r="U1045" s="57">
        <f t="shared" ca="1" si="1222"/>
        <v>0</v>
      </c>
      <c r="V1045" s="57">
        <f t="shared" ca="1" si="1222"/>
        <v>0</v>
      </c>
    </row>
    <row r="1046" spans="2:22" ht="13.5" customHeight="1" outlineLevel="1">
      <c r="B1046" s="38" t="s">
        <v>469</v>
      </c>
      <c r="C1046" s="263"/>
      <c r="D1046" s="263"/>
      <c r="F1046" s="519">
        <v>0</v>
      </c>
      <c r="G1046" s="519">
        <v>0</v>
      </c>
      <c r="H1046" s="519">
        <v>0</v>
      </c>
      <c r="I1046" s="519">
        <v>0</v>
      </c>
      <c r="J1046" s="260"/>
      <c r="K1046" s="223"/>
      <c r="M1046" s="509">
        <v>0</v>
      </c>
      <c r="N1046" s="509">
        <v>0</v>
      </c>
      <c r="O1046" s="509">
        <v>0</v>
      </c>
      <c r="P1046" s="509">
        <v>0</v>
      </c>
      <c r="Q1046" s="509">
        <v>0</v>
      </c>
      <c r="R1046" s="509">
        <v>0</v>
      </c>
      <c r="S1046" s="509">
        <v>0</v>
      </c>
      <c r="T1046" s="509">
        <v>0</v>
      </c>
      <c r="U1046" s="509">
        <v>0</v>
      </c>
      <c r="V1046" s="509">
        <v>0</v>
      </c>
    </row>
    <row r="1047" spans="2:22" ht="13.5" customHeight="1" outlineLevel="1">
      <c r="B1047" s="52" t="s">
        <v>467</v>
      </c>
      <c r="C1047" s="52"/>
      <c r="D1047" s="52"/>
      <c r="E1047" s="316">
        <f>V14</f>
        <v>0</v>
      </c>
      <c r="F1047" s="331">
        <f t="shared" ref="F1047:I1047" ca="1" si="1223">SUM(F1043:F1046)</f>
        <v>0</v>
      </c>
      <c r="G1047" s="331">
        <f t="shared" ca="1" si="1223"/>
        <v>0</v>
      </c>
      <c r="H1047" s="331">
        <f t="shared" ca="1" si="1223"/>
        <v>0</v>
      </c>
      <c r="I1047" s="331">
        <f t="shared" ca="1" si="1223"/>
        <v>0</v>
      </c>
      <c r="J1047" s="332">
        <f t="shared" ref="J1047" ca="1" si="1224">OFFSET(D1047,0,MATCH(J$990,E$990:I$990))</f>
        <v>0</v>
      </c>
      <c r="K1047" s="226"/>
      <c r="L1047" s="316">
        <f>IF(LBO,0,J1047)</f>
        <v>0</v>
      </c>
      <c r="M1047" s="72">
        <f t="shared" ref="M1047:V1047" ca="1" si="1225">SUM(M1043:M1046)</f>
        <v>0</v>
      </c>
      <c r="N1047" s="72">
        <f t="shared" ca="1" si="1225"/>
        <v>0</v>
      </c>
      <c r="O1047" s="72">
        <f t="shared" ca="1" si="1225"/>
        <v>0</v>
      </c>
      <c r="P1047" s="72">
        <f t="shared" ca="1" si="1225"/>
        <v>0</v>
      </c>
      <c r="Q1047" s="72">
        <f t="shared" ca="1" si="1225"/>
        <v>0</v>
      </c>
      <c r="R1047" s="72">
        <f t="shared" ca="1" si="1225"/>
        <v>0</v>
      </c>
      <c r="S1047" s="72">
        <f t="shared" ca="1" si="1225"/>
        <v>0</v>
      </c>
      <c r="T1047" s="72">
        <f t="shared" ca="1" si="1225"/>
        <v>0</v>
      </c>
      <c r="U1047" s="72">
        <f t="shared" ca="1" si="1225"/>
        <v>0</v>
      </c>
      <c r="V1047" s="72">
        <f t="shared" ca="1" si="1225"/>
        <v>0</v>
      </c>
    </row>
    <row r="1048" spans="2:22" ht="13.5" customHeight="1" outlineLevel="1">
      <c r="K1048" s="223"/>
    </row>
    <row r="1049" spans="2:22" s="35" customFormat="1" ht="13.5" customHeight="1" outlineLevel="1">
      <c r="B1049" s="46" t="s">
        <v>279</v>
      </c>
      <c r="C1049" s="47"/>
      <c r="D1049" s="47"/>
      <c r="E1049" s="47"/>
      <c r="F1049" s="47"/>
      <c r="G1049" s="47"/>
      <c r="H1049" s="47"/>
      <c r="I1049" s="47"/>
      <c r="J1049" s="47"/>
      <c r="K1049" s="47"/>
      <c r="L1049" s="47"/>
      <c r="M1049" s="47"/>
      <c r="N1049" s="47"/>
      <c r="O1049" s="47"/>
      <c r="P1049" s="47"/>
      <c r="Q1049" s="47"/>
      <c r="R1049" s="47"/>
      <c r="S1049" s="47"/>
      <c r="T1049" s="47"/>
      <c r="U1049" s="47"/>
      <c r="V1049" s="48"/>
    </row>
    <row r="1050" spans="2:22" ht="5.0999999999999996" customHeight="1" outlineLevel="1">
      <c r="B1050" s="143"/>
      <c r="K1050" s="223"/>
    </row>
    <row r="1051" spans="2:22" ht="13.5" customHeight="1" outlineLevel="1">
      <c r="B1051" s="38" t="s">
        <v>466</v>
      </c>
      <c r="F1051" s="54">
        <f>E1053</f>
        <v>0</v>
      </c>
      <c r="G1051" s="54">
        <f t="shared" ref="G1051:I1051" ca="1" si="1226">F1053</f>
        <v>0</v>
      </c>
      <c r="H1051" s="54">
        <f t="shared" ca="1" si="1226"/>
        <v>0</v>
      </c>
      <c r="I1051" s="54">
        <f t="shared" ca="1" si="1226"/>
        <v>0</v>
      </c>
      <c r="K1051" s="223"/>
      <c r="M1051" s="54">
        <f ca="1">L1053</f>
        <v>0</v>
      </c>
      <c r="N1051" s="54">
        <f t="shared" ref="N1051:V1051" ca="1" si="1227">M1053</f>
        <v>0</v>
      </c>
      <c r="O1051" s="54">
        <f t="shared" ca="1" si="1227"/>
        <v>0</v>
      </c>
      <c r="P1051" s="54">
        <f t="shared" ca="1" si="1227"/>
        <v>0</v>
      </c>
      <c r="Q1051" s="54">
        <f t="shared" ca="1" si="1227"/>
        <v>0</v>
      </c>
      <c r="R1051" s="54">
        <f t="shared" ca="1" si="1227"/>
        <v>0</v>
      </c>
      <c r="S1051" s="54">
        <f t="shared" ca="1" si="1227"/>
        <v>0</v>
      </c>
      <c r="T1051" s="54">
        <f t="shared" ca="1" si="1227"/>
        <v>0</v>
      </c>
      <c r="U1051" s="54">
        <f t="shared" ca="1" si="1227"/>
        <v>0</v>
      </c>
      <c r="V1051" s="54">
        <f t="shared" ca="1" si="1227"/>
        <v>0</v>
      </c>
    </row>
    <row r="1052" spans="2:22" ht="13.5" customHeight="1" outlineLevel="1">
      <c r="B1052" s="38" t="s">
        <v>488</v>
      </c>
      <c r="F1052" s="57">
        <f ca="1">SUM(F1031:F1032,F1044:F1046)*F996</f>
        <v>0</v>
      </c>
      <c r="G1052" s="57">
        <f ca="1">SUM(G1031:G1032,G1044:G1046)*G996</f>
        <v>0</v>
      </c>
      <c r="H1052" s="57">
        <f ca="1">SUM(H1031:H1032,H1044:H1046)*H996</f>
        <v>0</v>
      </c>
      <c r="I1052" s="57">
        <f ca="1">SUM(I1031:I1032,I1044:I1046)*I996</f>
        <v>0</v>
      </c>
      <c r="K1052" s="223"/>
      <c r="M1052" s="57">
        <f t="shared" ref="M1052:V1052" ca="1" si="1228">SUM(M1031:M1032,M1044:M1046)*M996</f>
        <v>0</v>
      </c>
      <c r="N1052" s="57">
        <f t="shared" ca="1" si="1228"/>
        <v>0</v>
      </c>
      <c r="O1052" s="57">
        <f t="shared" ca="1" si="1228"/>
        <v>0</v>
      </c>
      <c r="P1052" s="57">
        <f t="shared" ca="1" si="1228"/>
        <v>0</v>
      </c>
      <c r="Q1052" s="57">
        <f t="shared" ca="1" si="1228"/>
        <v>0</v>
      </c>
      <c r="R1052" s="57">
        <f t="shared" ca="1" si="1228"/>
        <v>0</v>
      </c>
      <c r="S1052" s="57">
        <f t="shared" ca="1" si="1228"/>
        <v>0</v>
      </c>
      <c r="T1052" s="57">
        <f t="shared" ca="1" si="1228"/>
        <v>0</v>
      </c>
      <c r="U1052" s="57">
        <f t="shared" ca="1" si="1228"/>
        <v>0</v>
      </c>
      <c r="V1052" s="57">
        <f t="shared" ca="1" si="1228"/>
        <v>0</v>
      </c>
    </row>
    <row r="1053" spans="2:22" ht="13.5" customHeight="1" outlineLevel="1">
      <c r="B1053" s="52" t="s">
        <v>467</v>
      </c>
      <c r="C1053" s="52"/>
      <c r="D1053" s="52"/>
      <c r="E1053" s="316">
        <f>(E1033+E1047)*F996</f>
        <v>0</v>
      </c>
      <c r="F1053" s="315">
        <f ca="1">SUM(F1051:F1052)</f>
        <v>0</v>
      </c>
      <c r="G1053" s="315">
        <f t="shared" ref="G1053:I1053" ca="1" si="1229">SUM(G1051:G1052)</f>
        <v>0</v>
      </c>
      <c r="H1053" s="315">
        <f t="shared" ca="1" si="1229"/>
        <v>0</v>
      </c>
      <c r="I1053" s="315">
        <f t="shared" ca="1" si="1229"/>
        <v>0</v>
      </c>
      <c r="J1053" s="332">
        <f t="shared" ref="J1053" ca="1" si="1230">OFFSET(D1053,0,MATCH(J$990,E$990:I$990))</f>
        <v>0</v>
      </c>
      <c r="K1053" s="279"/>
      <c r="L1053" s="316">
        <f ca="1">V25</f>
        <v>0</v>
      </c>
      <c r="M1053" s="315">
        <f ca="1">SUM(M1051:M1052)</f>
        <v>0</v>
      </c>
      <c r="N1053" s="315">
        <f t="shared" ref="N1053:V1053" ca="1" si="1231">SUM(N1051:N1052)</f>
        <v>0</v>
      </c>
      <c r="O1053" s="315">
        <f t="shared" ca="1" si="1231"/>
        <v>0</v>
      </c>
      <c r="P1053" s="315">
        <f t="shared" ca="1" si="1231"/>
        <v>0</v>
      </c>
      <c r="Q1053" s="315">
        <f t="shared" ca="1" si="1231"/>
        <v>0</v>
      </c>
      <c r="R1053" s="315">
        <f t="shared" ca="1" si="1231"/>
        <v>0</v>
      </c>
      <c r="S1053" s="315">
        <f t="shared" ca="1" si="1231"/>
        <v>0</v>
      </c>
      <c r="T1053" s="315">
        <f t="shared" ca="1" si="1231"/>
        <v>0</v>
      </c>
      <c r="U1053" s="315">
        <f t="shared" ca="1" si="1231"/>
        <v>0</v>
      </c>
      <c r="V1053" s="315">
        <f t="shared" ca="1" si="1231"/>
        <v>0</v>
      </c>
    </row>
    <row r="1054" spans="2:22" ht="13.5" customHeight="1" outlineLevel="1">
      <c r="J1054" s="333"/>
      <c r="K1054" s="223"/>
      <c r="L1054" s="334"/>
      <c r="M1054" s="288"/>
      <c r="N1054" s="288"/>
      <c r="O1054" s="288"/>
      <c r="P1054" s="288"/>
      <c r="Q1054" s="288"/>
      <c r="R1054" s="288"/>
      <c r="S1054" s="288"/>
      <c r="T1054" s="288"/>
      <c r="U1054" s="288"/>
      <c r="V1054" s="288"/>
    </row>
    <row r="1055" spans="2:22" s="35" customFormat="1" ht="13.5" customHeight="1" outlineLevel="1">
      <c r="B1055" s="46" t="s">
        <v>475</v>
      </c>
      <c r="C1055" s="47"/>
      <c r="D1055" s="47"/>
      <c r="E1055" s="47"/>
      <c r="F1055" s="47"/>
      <c r="G1055" s="47"/>
      <c r="H1055" s="47"/>
      <c r="I1055" s="47"/>
      <c r="J1055" s="47"/>
      <c r="K1055" s="47"/>
      <c r="L1055" s="47"/>
      <c r="M1055" s="47"/>
      <c r="N1055" s="47"/>
      <c r="O1055" s="47"/>
      <c r="P1055" s="47"/>
      <c r="Q1055" s="47"/>
      <c r="R1055" s="47"/>
      <c r="S1055" s="47"/>
      <c r="T1055" s="47"/>
      <c r="U1055" s="47"/>
      <c r="V1055" s="48"/>
    </row>
    <row r="1056" spans="2:22" ht="5.0999999999999996" customHeight="1" outlineLevel="1">
      <c r="J1056" s="333"/>
      <c r="K1056" s="223"/>
      <c r="L1056" s="334"/>
      <c r="M1056" s="288"/>
      <c r="N1056" s="288"/>
      <c r="O1056" s="288"/>
      <c r="P1056" s="288"/>
      <c r="Q1056" s="288"/>
      <c r="R1056" s="288"/>
      <c r="S1056" s="288"/>
      <c r="T1056" s="288"/>
      <c r="U1056" s="288"/>
      <c r="V1056" s="288"/>
    </row>
    <row r="1057" spans="2:22" ht="13.5" customHeight="1" outlineLevel="1">
      <c r="B1057" s="38" t="s">
        <v>476</v>
      </c>
      <c r="C1057" s="263"/>
      <c r="D1057" s="263"/>
      <c r="E1057" s="263"/>
      <c r="F1057" s="505">
        <v>0.2</v>
      </c>
      <c r="G1057" s="323">
        <f>$F1057</f>
        <v>0.2</v>
      </c>
      <c r="H1057" s="323">
        <f t="shared" ref="H1057:I1058" si="1232">$F1057</f>
        <v>0.2</v>
      </c>
      <c r="I1057" s="323">
        <f t="shared" si="1232"/>
        <v>0.2</v>
      </c>
      <c r="J1057" s="333"/>
      <c r="K1057" s="223"/>
      <c r="L1057" s="51"/>
      <c r="M1057" s="323">
        <f t="shared" ref="M1057:V1058" si="1233">$F1057</f>
        <v>0.2</v>
      </c>
      <c r="N1057" s="323">
        <f t="shared" si="1233"/>
        <v>0.2</v>
      </c>
      <c r="O1057" s="323">
        <f t="shared" si="1233"/>
        <v>0.2</v>
      </c>
      <c r="P1057" s="323">
        <f t="shared" si="1233"/>
        <v>0.2</v>
      </c>
      <c r="Q1057" s="323">
        <f t="shared" si="1233"/>
        <v>0.2</v>
      </c>
      <c r="R1057" s="323">
        <f t="shared" si="1233"/>
        <v>0.2</v>
      </c>
      <c r="S1057" s="323">
        <f t="shared" si="1233"/>
        <v>0.2</v>
      </c>
      <c r="T1057" s="323">
        <f t="shared" si="1233"/>
        <v>0.2</v>
      </c>
      <c r="U1057" s="323">
        <f t="shared" si="1233"/>
        <v>0.2</v>
      </c>
      <c r="V1057" s="323">
        <f t="shared" si="1233"/>
        <v>0.2</v>
      </c>
    </row>
    <row r="1058" spans="2:22" ht="13.5" customHeight="1" outlineLevel="1">
      <c r="B1058" s="38" t="s">
        <v>477</v>
      </c>
      <c r="C1058" s="263"/>
      <c r="D1058" s="263"/>
      <c r="E1058" s="263"/>
      <c r="F1058" s="505">
        <v>0.9</v>
      </c>
      <c r="G1058" s="323">
        <f>$F1058</f>
        <v>0.9</v>
      </c>
      <c r="H1058" s="323">
        <f t="shared" si="1232"/>
        <v>0.9</v>
      </c>
      <c r="I1058" s="323">
        <f t="shared" si="1232"/>
        <v>0.9</v>
      </c>
      <c r="J1058" s="333"/>
      <c r="K1058" s="223"/>
      <c r="L1058" s="51"/>
      <c r="M1058" s="323">
        <f t="shared" si="1233"/>
        <v>0.9</v>
      </c>
      <c r="N1058" s="323">
        <f t="shared" si="1233"/>
        <v>0.9</v>
      </c>
      <c r="O1058" s="323">
        <f t="shared" si="1233"/>
        <v>0.9</v>
      </c>
      <c r="P1058" s="323">
        <f t="shared" si="1233"/>
        <v>0.9</v>
      </c>
      <c r="Q1058" s="323">
        <f t="shared" si="1233"/>
        <v>0.9</v>
      </c>
      <c r="R1058" s="323">
        <f t="shared" si="1233"/>
        <v>0.9</v>
      </c>
      <c r="S1058" s="323">
        <f t="shared" si="1233"/>
        <v>0.9</v>
      </c>
      <c r="T1058" s="323">
        <f t="shared" si="1233"/>
        <v>0.9</v>
      </c>
      <c r="U1058" s="323">
        <f t="shared" si="1233"/>
        <v>0.9</v>
      </c>
      <c r="V1058" s="323">
        <f t="shared" si="1233"/>
        <v>0.9</v>
      </c>
    </row>
    <row r="1059" spans="2:22" ht="13.5" customHeight="1" outlineLevel="1">
      <c r="B1059" s="38" t="s">
        <v>478</v>
      </c>
      <c r="C1059" s="263"/>
      <c r="D1059" s="263"/>
      <c r="E1059" s="263"/>
      <c r="F1059" s="323">
        <f t="shared" ref="F1059:I1059" si="1234">F1057*(1-F1058)</f>
        <v>1.9999999999999997E-2</v>
      </c>
      <c r="G1059" s="323">
        <f t="shared" si="1234"/>
        <v>1.9999999999999997E-2</v>
      </c>
      <c r="H1059" s="323">
        <f t="shared" si="1234"/>
        <v>1.9999999999999997E-2</v>
      </c>
      <c r="I1059" s="323">
        <f t="shared" si="1234"/>
        <v>1.9999999999999997E-2</v>
      </c>
      <c r="J1059" s="333"/>
      <c r="K1059" s="223"/>
      <c r="L1059" s="323"/>
      <c r="M1059" s="323">
        <f t="shared" ref="M1059" si="1235">M1057*(1-M1058)</f>
        <v>1.9999999999999997E-2</v>
      </c>
      <c r="N1059" s="323">
        <f t="shared" ref="N1059:V1059" si="1236">N1057*(1-N1058)</f>
        <v>1.9999999999999997E-2</v>
      </c>
      <c r="O1059" s="323">
        <f t="shared" si="1236"/>
        <v>1.9999999999999997E-2</v>
      </c>
      <c r="P1059" s="323">
        <f t="shared" si="1236"/>
        <v>1.9999999999999997E-2</v>
      </c>
      <c r="Q1059" s="323">
        <f t="shared" si="1236"/>
        <v>1.9999999999999997E-2</v>
      </c>
      <c r="R1059" s="323">
        <f t="shared" si="1236"/>
        <v>1.9999999999999997E-2</v>
      </c>
      <c r="S1059" s="323">
        <f t="shared" si="1236"/>
        <v>1.9999999999999997E-2</v>
      </c>
      <c r="T1059" s="323">
        <f t="shared" si="1236"/>
        <v>1.9999999999999997E-2</v>
      </c>
      <c r="U1059" s="323">
        <f t="shared" si="1236"/>
        <v>1.9999999999999997E-2</v>
      </c>
      <c r="V1059" s="323">
        <f t="shared" si="1236"/>
        <v>1.9999999999999997E-2</v>
      </c>
    </row>
    <row r="1060" spans="2:22" ht="13.5" customHeight="1" outlineLevel="1">
      <c r="J1060" s="333"/>
      <c r="K1060" s="223"/>
      <c r="L1060" s="334"/>
      <c r="M1060" s="288"/>
      <c r="N1060" s="288"/>
      <c r="O1060" s="288"/>
      <c r="P1060" s="288"/>
      <c r="Q1060" s="288"/>
      <c r="R1060" s="288"/>
      <c r="S1060" s="288"/>
      <c r="T1060" s="288"/>
      <c r="U1060" s="288"/>
      <c r="V1060" s="288"/>
    </row>
    <row r="1061" spans="2:22" ht="13.5" customHeight="1" outlineLevel="1">
      <c r="B1061" s="38" t="s">
        <v>479</v>
      </c>
      <c r="F1061" s="136">
        <f ca="1">MAX(0,F1012*F994)</f>
        <v>4.3540408187500006</v>
      </c>
      <c r="G1061" s="136">
        <f ca="1">MAX(0,G1012*G994)</f>
        <v>4.4820420187499996</v>
      </c>
      <c r="H1061" s="136">
        <f ca="1">MAX(0,H1012*H994)</f>
        <v>4.6100432187500013</v>
      </c>
      <c r="I1061" s="136">
        <f ca="1">MAX(0,I1012*I994)</f>
        <v>4.7700447187500012</v>
      </c>
      <c r="J1061" s="335"/>
      <c r="K1061" s="223"/>
      <c r="L1061" s="136"/>
      <c r="M1061" s="136">
        <f t="shared" ref="M1061:V1061" ca="1" si="1237">MAX(0,M1012*M994)</f>
        <v>9.1923436204528084</v>
      </c>
      <c r="N1061" s="136">
        <f t="shared" ca="1" si="1237"/>
        <v>22.70710859763189</v>
      </c>
      <c r="O1061" s="136">
        <f t="shared" ca="1" si="1237"/>
        <v>24.187920536385747</v>
      </c>
      <c r="P1061" s="136">
        <f t="shared" ca="1" si="1237"/>
        <v>24.615919725888865</v>
      </c>
      <c r="Q1061" s="136">
        <f t="shared" ca="1" si="1237"/>
        <v>25.500463253968544</v>
      </c>
      <c r="R1061" s="136">
        <f t="shared" ca="1" si="1237"/>
        <v>31.391207111046683</v>
      </c>
      <c r="S1061" s="136">
        <f t="shared" ca="1" si="1237"/>
        <v>35.131370786701858</v>
      </c>
      <c r="T1061" s="136">
        <f t="shared" ca="1" si="1237"/>
        <v>36.169805934953239</v>
      </c>
      <c r="U1061" s="136">
        <f t="shared" ca="1" si="1237"/>
        <v>40.308153303086172</v>
      </c>
      <c r="V1061" s="136">
        <f t="shared" ca="1" si="1237"/>
        <v>40.907303768870392</v>
      </c>
    </row>
    <row r="1062" spans="2:22" ht="13.5" customHeight="1" outlineLevel="1">
      <c r="B1062" s="38" t="s">
        <v>480</v>
      </c>
      <c r="F1062" s="57">
        <f ca="1">MAX(0,(F1008+F1011)*F1059)</f>
        <v>0.26396124999999998</v>
      </c>
      <c r="G1062" s="57">
        <f ca="1">MAX(0,(G1008+G1011)*G1059)</f>
        <v>0.27172124999999991</v>
      </c>
      <c r="H1062" s="57">
        <f ca="1">MAX(0,(H1008+H1011)*H1059)</f>
        <v>0.27948125000000001</v>
      </c>
      <c r="I1062" s="57">
        <f ca="1">MAX(0,(I1008+I1011)*I1059)</f>
        <v>0.28918125</v>
      </c>
      <c r="J1062" s="335"/>
      <c r="K1062" s="223"/>
      <c r="L1062" s="57"/>
      <c r="M1062" s="57">
        <f t="shared" ref="M1062:V1062" ca="1" si="1238">MAX(0,(M1008+M1011)*M1059)</f>
        <v>0.55728060748425623</v>
      </c>
      <c r="N1062" s="57">
        <f t="shared" ca="1" si="1238"/>
        <v>1.376605553054373</v>
      </c>
      <c r="O1062" s="57">
        <f t="shared" ca="1" si="1238"/>
        <v>1.466378935215868</v>
      </c>
      <c r="P1062" s="57">
        <f t="shared" ca="1" si="1238"/>
        <v>1.4923261428244232</v>
      </c>
      <c r="Q1062" s="57">
        <f t="shared" ca="1" si="1238"/>
        <v>1.54595109148036</v>
      </c>
      <c r="R1062" s="57">
        <f t="shared" ca="1" si="1238"/>
        <v>1.9030740897876128</v>
      </c>
      <c r="S1062" s="57">
        <f t="shared" ca="1" si="1238"/>
        <v>2.1298193868870476</v>
      </c>
      <c r="T1062" s="57">
        <f t="shared" ca="1" si="1238"/>
        <v>2.1927739275509688</v>
      </c>
      <c r="U1062" s="57">
        <f t="shared" ca="1" si="1238"/>
        <v>2.4436588846975549</v>
      </c>
      <c r="V1062" s="57">
        <f t="shared" ca="1" si="1238"/>
        <v>2.4799820411561311</v>
      </c>
    </row>
    <row r="1063" spans="2:22" ht="13.5" customHeight="1" outlineLevel="1">
      <c r="J1063" s="333"/>
      <c r="K1063" s="223"/>
      <c r="L1063" s="334"/>
      <c r="M1063" s="288"/>
      <c r="N1063" s="288"/>
      <c r="O1063" s="288"/>
      <c r="P1063" s="288"/>
      <c r="Q1063" s="288"/>
      <c r="R1063" s="288"/>
      <c r="S1063" s="288"/>
      <c r="T1063" s="288"/>
      <c r="U1063" s="288"/>
      <c r="V1063" s="288"/>
    </row>
    <row r="1064" spans="2:22" ht="13.5" customHeight="1" outlineLevel="1">
      <c r="B1064" s="38" t="s">
        <v>481</v>
      </c>
      <c r="D1064" s="263"/>
      <c r="E1064" s="263"/>
      <c r="F1064" s="136">
        <f t="shared" ref="F1064:G1064" ca="1" si="1239">MAX(F1061,F1062)</f>
        <v>4.3540408187500006</v>
      </c>
      <c r="G1064" s="136">
        <f t="shared" ca="1" si="1239"/>
        <v>4.4820420187499996</v>
      </c>
      <c r="H1064" s="136">
        <f t="shared" ref="H1064:I1064" ca="1" si="1240">MAX(H1061,H1062)</f>
        <v>4.6100432187500013</v>
      </c>
      <c r="I1064" s="136">
        <f t="shared" ca="1" si="1240"/>
        <v>4.7700447187500012</v>
      </c>
      <c r="J1064" s="333"/>
      <c r="K1064" s="223"/>
      <c r="L1064" s="334"/>
      <c r="M1064" s="136">
        <f t="shared" ref="M1064:V1064" ca="1" si="1241">MAX(M1061,M1062)</f>
        <v>9.1923436204528084</v>
      </c>
      <c r="N1064" s="136">
        <f t="shared" ca="1" si="1241"/>
        <v>22.70710859763189</v>
      </c>
      <c r="O1064" s="136">
        <f t="shared" ca="1" si="1241"/>
        <v>24.187920536385747</v>
      </c>
      <c r="P1064" s="136">
        <f t="shared" ca="1" si="1241"/>
        <v>24.615919725888865</v>
      </c>
      <c r="Q1064" s="136">
        <f t="shared" ca="1" si="1241"/>
        <v>25.500463253968544</v>
      </c>
      <c r="R1064" s="136">
        <f t="shared" ca="1" si="1241"/>
        <v>31.391207111046683</v>
      </c>
      <c r="S1064" s="136">
        <f t="shared" ca="1" si="1241"/>
        <v>35.131370786701858</v>
      </c>
      <c r="T1064" s="136">
        <f t="shared" ca="1" si="1241"/>
        <v>36.169805934953239</v>
      </c>
      <c r="U1064" s="136">
        <f t="shared" ca="1" si="1241"/>
        <v>40.308153303086172</v>
      </c>
      <c r="V1064" s="136">
        <f t="shared" ca="1" si="1241"/>
        <v>40.907303768870392</v>
      </c>
    </row>
    <row r="1065" spans="2:22" ht="13.5" customHeight="1" outlineLevel="1">
      <c r="B1065" s="38" t="s">
        <v>482</v>
      </c>
      <c r="D1065" s="263"/>
      <c r="E1065" s="263"/>
      <c r="F1065" s="57">
        <f t="shared" ref="F1065:G1065" ca="1" si="1242">F1072</f>
        <v>0</v>
      </c>
      <c r="G1065" s="57">
        <f t="shared" ca="1" si="1242"/>
        <v>0</v>
      </c>
      <c r="H1065" s="57">
        <f t="shared" ref="H1065:I1065" ca="1" si="1243">H1072</f>
        <v>0</v>
      </c>
      <c r="I1065" s="57">
        <f t="shared" ca="1" si="1243"/>
        <v>0</v>
      </c>
      <c r="J1065" s="333"/>
      <c r="K1065" s="223"/>
      <c r="L1065" s="334"/>
      <c r="M1065" s="57">
        <f t="shared" ref="M1065:V1065" ca="1" si="1244">M1072</f>
        <v>0</v>
      </c>
      <c r="N1065" s="57">
        <f t="shared" ca="1" si="1244"/>
        <v>0</v>
      </c>
      <c r="O1065" s="57">
        <f t="shared" ca="1" si="1244"/>
        <v>0</v>
      </c>
      <c r="P1065" s="57">
        <f t="shared" ca="1" si="1244"/>
        <v>0</v>
      </c>
      <c r="Q1065" s="57">
        <f t="shared" ca="1" si="1244"/>
        <v>0</v>
      </c>
      <c r="R1065" s="57">
        <f t="shared" ca="1" si="1244"/>
        <v>0</v>
      </c>
      <c r="S1065" s="57">
        <f t="shared" ca="1" si="1244"/>
        <v>0</v>
      </c>
      <c r="T1065" s="57">
        <f t="shared" ca="1" si="1244"/>
        <v>0</v>
      </c>
      <c r="U1065" s="57">
        <f t="shared" ca="1" si="1244"/>
        <v>0</v>
      </c>
      <c r="V1065" s="57">
        <f t="shared" ca="1" si="1244"/>
        <v>0</v>
      </c>
    </row>
    <row r="1066" spans="2:22" ht="13.5" customHeight="1" outlineLevel="1">
      <c r="B1066" s="52" t="s">
        <v>454</v>
      </c>
      <c r="C1066" s="52"/>
      <c r="D1066" s="52"/>
      <c r="E1066" s="52"/>
      <c r="F1066" s="67">
        <f t="shared" ref="F1066:G1066" ca="1" si="1245">SUM(F1064:F1065)</f>
        <v>4.3540408187500006</v>
      </c>
      <c r="G1066" s="67">
        <f t="shared" ca="1" si="1245"/>
        <v>4.4820420187499996</v>
      </c>
      <c r="H1066" s="67">
        <f t="shared" ref="H1066:I1066" ca="1" si="1246">SUM(H1064:H1065)</f>
        <v>4.6100432187500013</v>
      </c>
      <c r="I1066" s="67">
        <f t="shared" ca="1" si="1246"/>
        <v>4.7700447187500012</v>
      </c>
      <c r="J1066" s="67"/>
      <c r="K1066" s="281"/>
      <c r="L1066" s="67"/>
      <c r="M1066" s="67">
        <f t="shared" ref="M1066:V1066" ca="1" si="1247">SUM(M1064:M1065)</f>
        <v>9.1923436204528084</v>
      </c>
      <c r="N1066" s="67">
        <f t="shared" ca="1" si="1247"/>
        <v>22.70710859763189</v>
      </c>
      <c r="O1066" s="67">
        <f t="shared" ca="1" si="1247"/>
        <v>24.187920536385747</v>
      </c>
      <c r="P1066" s="67">
        <f t="shared" ca="1" si="1247"/>
        <v>24.615919725888865</v>
      </c>
      <c r="Q1066" s="67">
        <f t="shared" ca="1" si="1247"/>
        <v>25.500463253968544</v>
      </c>
      <c r="R1066" s="67">
        <f t="shared" ca="1" si="1247"/>
        <v>31.391207111046683</v>
      </c>
      <c r="S1066" s="67">
        <f t="shared" ca="1" si="1247"/>
        <v>35.131370786701858</v>
      </c>
      <c r="T1066" s="67">
        <f t="shared" ca="1" si="1247"/>
        <v>36.169805934953239</v>
      </c>
      <c r="U1066" s="67">
        <f t="shared" ca="1" si="1247"/>
        <v>40.308153303086172</v>
      </c>
      <c r="V1066" s="67">
        <f t="shared" ca="1" si="1247"/>
        <v>40.907303768870392</v>
      </c>
    </row>
    <row r="1067" spans="2:22" ht="13.5" customHeight="1" outlineLevel="1">
      <c r="B1067" s="336" t="s">
        <v>483</v>
      </c>
      <c r="D1067" s="263"/>
      <c r="E1067" s="263"/>
      <c r="F1067" s="337">
        <f ca="1">F1066/(F1008+F1011)</f>
        <v>0.32990000000000003</v>
      </c>
      <c r="G1067" s="337">
        <f ca="1">G1066/(G1008+G1011)</f>
        <v>0.32990000000000003</v>
      </c>
      <c r="H1067" s="337">
        <f ca="1">H1066/(H1008+H1011)</f>
        <v>0.32990000000000003</v>
      </c>
      <c r="I1067" s="337">
        <f ca="1">I1066/(I1008+I1011)</f>
        <v>0.32990000000000003</v>
      </c>
      <c r="J1067" s="333"/>
      <c r="K1067" s="223"/>
      <c r="L1067" s="334"/>
      <c r="M1067" s="337">
        <f t="shared" ref="M1067:V1067" ca="1" si="1248">M1066/(M1008+M1011)</f>
        <v>0.32990000000000003</v>
      </c>
      <c r="N1067" s="337">
        <f t="shared" ca="1" si="1248"/>
        <v>0.32990000000000003</v>
      </c>
      <c r="O1067" s="337">
        <f t="shared" ca="1" si="1248"/>
        <v>0.32990000000000003</v>
      </c>
      <c r="P1067" s="337">
        <f t="shared" ca="1" si="1248"/>
        <v>0.32990000000000003</v>
      </c>
      <c r="Q1067" s="337">
        <f t="shared" ca="1" si="1248"/>
        <v>0.32990000000000003</v>
      </c>
      <c r="R1067" s="337">
        <f t="shared" ca="1" si="1248"/>
        <v>0.32990000000000003</v>
      </c>
      <c r="S1067" s="337">
        <f t="shared" ca="1" si="1248"/>
        <v>0.32990000000000003</v>
      </c>
      <c r="T1067" s="337">
        <f t="shared" ca="1" si="1248"/>
        <v>0.32990000000000003</v>
      </c>
      <c r="U1067" s="337">
        <f t="shared" ca="1" si="1248"/>
        <v>0.32990000000000003</v>
      </c>
      <c r="V1067" s="337">
        <f t="shared" ca="1" si="1248"/>
        <v>0.32990000000000003</v>
      </c>
    </row>
    <row r="1068" spans="2:22" ht="13.5" customHeight="1" outlineLevel="1">
      <c r="D1068" s="263"/>
      <c r="E1068" s="263"/>
      <c r="F1068" s="338"/>
      <c r="G1068" s="338"/>
      <c r="J1068" s="333"/>
      <c r="K1068" s="223"/>
      <c r="L1068" s="334"/>
    </row>
    <row r="1069" spans="2:22" ht="13.5" customHeight="1" outlineLevel="1">
      <c r="B1069" s="150" t="s">
        <v>484</v>
      </c>
      <c r="D1069" s="263"/>
      <c r="E1069" s="263"/>
      <c r="F1069" s="338"/>
      <c r="G1069" s="338"/>
      <c r="J1069" s="333"/>
      <c r="K1069" s="223"/>
      <c r="L1069" s="334"/>
    </row>
    <row r="1070" spans="2:22" ht="13.5" customHeight="1" outlineLevel="1">
      <c r="B1070" s="38" t="s">
        <v>485</v>
      </c>
      <c r="D1070" s="263"/>
      <c r="E1070" s="263"/>
      <c r="F1070" s="136">
        <f>E1073</f>
        <v>0</v>
      </c>
      <c r="G1070" s="136">
        <f t="shared" ref="G1070" ca="1" si="1249">F1073</f>
        <v>0</v>
      </c>
      <c r="H1070" s="136">
        <f t="shared" ref="H1070" ca="1" si="1250">G1073</f>
        <v>0</v>
      </c>
      <c r="I1070" s="136">
        <f t="shared" ref="I1070" ca="1" si="1251">H1073</f>
        <v>0</v>
      </c>
      <c r="J1070" s="333"/>
      <c r="K1070" s="223"/>
      <c r="L1070" s="334"/>
      <c r="M1070" s="136">
        <f t="shared" ref="M1070" ca="1" si="1252">L1073</f>
        <v>0</v>
      </c>
      <c r="N1070" s="136">
        <f t="shared" ref="N1070" ca="1" si="1253">M1073</f>
        <v>0</v>
      </c>
      <c r="O1070" s="136">
        <f t="shared" ref="O1070" ca="1" si="1254">N1073</f>
        <v>0</v>
      </c>
      <c r="P1070" s="136">
        <f t="shared" ref="P1070" ca="1" si="1255">O1073</f>
        <v>0</v>
      </c>
      <c r="Q1070" s="136">
        <f t="shared" ref="Q1070" ca="1" si="1256">P1073</f>
        <v>0</v>
      </c>
      <c r="R1070" s="136">
        <f t="shared" ref="R1070" ca="1" si="1257">Q1073</f>
        <v>0</v>
      </c>
      <c r="S1070" s="136">
        <f t="shared" ref="S1070" ca="1" si="1258">R1073</f>
        <v>0</v>
      </c>
      <c r="T1070" s="136">
        <f t="shared" ref="T1070" ca="1" si="1259">S1073</f>
        <v>0</v>
      </c>
      <c r="U1070" s="136">
        <f t="shared" ref="U1070" ca="1" si="1260">T1073</f>
        <v>0</v>
      </c>
      <c r="V1070" s="136">
        <f t="shared" ref="V1070" ca="1" si="1261">U1073</f>
        <v>0</v>
      </c>
    </row>
    <row r="1071" spans="2:22" ht="13.5" customHeight="1" outlineLevel="1">
      <c r="B1071" s="38" t="s">
        <v>486</v>
      </c>
      <c r="D1071" s="263"/>
      <c r="E1071" s="263"/>
      <c r="F1071" s="57">
        <f t="shared" ref="F1071:G1071" ca="1" si="1262">IF(F1062&gt;F1061,F1066,0)</f>
        <v>0</v>
      </c>
      <c r="G1071" s="57">
        <f t="shared" ca="1" si="1262"/>
        <v>0</v>
      </c>
      <c r="H1071" s="57">
        <f t="shared" ref="H1071:I1071" ca="1" si="1263">IF(H1062&gt;H1061,H1066,0)</f>
        <v>0</v>
      </c>
      <c r="I1071" s="57">
        <f t="shared" ca="1" si="1263"/>
        <v>0</v>
      </c>
      <c r="J1071" s="333"/>
      <c r="K1071" s="223"/>
      <c r="L1071" s="334"/>
      <c r="M1071" s="57">
        <f t="shared" ref="M1071:V1071" ca="1" si="1264">IF(M1062&gt;M1061,M1066,0)</f>
        <v>0</v>
      </c>
      <c r="N1071" s="57">
        <f t="shared" ca="1" si="1264"/>
        <v>0</v>
      </c>
      <c r="O1071" s="57">
        <f t="shared" ca="1" si="1264"/>
        <v>0</v>
      </c>
      <c r="P1071" s="57">
        <f t="shared" ca="1" si="1264"/>
        <v>0</v>
      </c>
      <c r="Q1071" s="57">
        <f t="shared" ca="1" si="1264"/>
        <v>0</v>
      </c>
      <c r="R1071" s="57">
        <f t="shared" ca="1" si="1264"/>
        <v>0</v>
      </c>
      <c r="S1071" s="57">
        <f t="shared" ca="1" si="1264"/>
        <v>0</v>
      </c>
      <c r="T1071" s="57">
        <f t="shared" ca="1" si="1264"/>
        <v>0</v>
      </c>
      <c r="U1071" s="57">
        <f t="shared" ca="1" si="1264"/>
        <v>0</v>
      </c>
      <c r="V1071" s="57">
        <f t="shared" ca="1" si="1264"/>
        <v>0</v>
      </c>
    </row>
    <row r="1072" spans="2:22" ht="13.5" customHeight="1" outlineLevel="1">
      <c r="B1072" s="38" t="s">
        <v>482</v>
      </c>
      <c r="D1072" s="263"/>
      <c r="E1072" s="263"/>
      <c r="F1072" s="57">
        <f t="shared" ref="F1072:G1072" ca="1" si="1265">IF(F1061&gt;F1062,-MIN(F1070,F1064-F1062),0)</f>
        <v>0</v>
      </c>
      <c r="G1072" s="57">
        <f t="shared" ca="1" si="1265"/>
        <v>0</v>
      </c>
      <c r="H1072" s="57">
        <f t="shared" ref="H1072:I1072" ca="1" si="1266">IF(H1061&gt;H1062,-MIN(H1070,H1064-H1062),0)</f>
        <v>0</v>
      </c>
      <c r="I1072" s="57">
        <f t="shared" ca="1" si="1266"/>
        <v>0</v>
      </c>
      <c r="J1072" s="333"/>
      <c r="K1072" s="223"/>
      <c r="L1072" s="334"/>
      <c r="M1072" s="57">
        <f t="shared" ref="M1072:V1072" ca="1" si="1267">IF(M1061&gt;M1062,-MIN(M1070,M1064-M1062),0)</f>
        <v>0</v>
      </c>
      <c r="N1072" s="57">
        <f t="shared" ca="1" si="1267"/>
        <v>0</v>
      </c>
      <c r="O1072" s="57">
        <f t="shared" ca="1" si="1267"/>
        <v>0</v>
      </c>
      <c r="P1072" s="57">
        <f t="shared" ca="1" si="1267"/>
        <v>0</v>
      </c>
      <c r="Q1072" s="57">
        <f t="shared" ca="1" si="1267"/>
        <v>0</v>
      </c>
      <c r="R1072" s="57">
        <f t="shared" ca="1" si="1267"/>
        <v>0</v>
      </c>
      <c r="S1072" s="57">
        <f t="shared" ca="1" si="1267"/>
        <v>0</v>
      </c>
      <c r="T1072" s="57">
        <f t="shared" ca="1" si="1267"/>
        <v>0</v>
      </c>
      <c r="U1072" s="57">
        <f t="shared" ca="1" si="1267"/>
        <v>0</v>
      </c>
      <c r="V1072" s="57">
        <f t="shared" ca="1" si="1267"/>
        <v>0</v>
      </c>
    </row>
    <row r="1073" spans="1:22" ht="13.5" customHeight="1" outlineLevel="1">
      <c r="B1073" s="52" t="s">
        <v>487</v>
      </c>
      <c r="C1073" s="52"/>
      <c r="D1073" s="52"/>
      <c r="E1073" s="316">
        <f>V11</f>
        <v>0</v>
      </c>
      <c r="F1073" s="67">
        <f t="shared" ref="F1073:G1073" ca="1" si="1268">SUM(F1070:F1072)</f>
        <v>0</v>
      </c>
      <c r="G1073" s="67">
        <f t="shared" ca="1" si="1268"/>
        <v>0</v>
      </c>
      <c r="H1073" s="67">
        <f t="shared" ref="H1073:I1073" ca="1" si="1269">SUM(H1070:H1072)</f>
        <v>0</v>
      </c>
      <c r="I1073" s="67">
        <f t="shared" ca="1" si="1269"/>
        <v>0</v>
      </c>
      <c r="J1073" s="332">
        <f t="shared" ref="J1073" ca="1" si="1270">OFFSET(D1073,0,MATCH(J$990,E$990:I$990))</f>
        <v>0</v>
      </c>
      <c r="K1073" s="226"/>
      <c r="L1073" s="316">
        <f ca="1">SUM(J1073:K1073)</f>
        <v>0</v>
      </c>
      <c r="M1073" s="67">
        <f t="shared" ref="M1073:V1073" ca="1" si="1271">SUM(M1070:M1072)</f>
        <v>0</v>
      </c>
      <c r="N1073" s="67">
        <f t="shared" ca="1" si="1271"/>
        <v>0</v>
      </c>
      <c r="O1073" s="67">
        <f t="shared" ca="1" si="1271"/>
        <v>0</v>
      </c>
      <c r="P1073" s="67">
        <f t="shared" ca="1" si="1271"/>
        <v>0</v>
      </c>
      <c r="Q1073" s="67">
        <f t="shared" ca="1" si="1271"/>
        <v>0</v>
      </c>
      <c r="R1073" s="67">
        <f t="shared" ca="1" si="1271"/>
        <v>0</v>
      </c>
      <c r="S1073" s="67">
        <f t="shared" ca="1" si="1271"/>
        <v>0</v>
      </c>
      <c r="T1073" s="67">
        <f t="shared" ca="1" si="1271"/>
        <v>0</v>
      </c>
      <c r="U1073" s="67">
        <f t="shared" ca="1" si="1271"/>
        <v>0</v>
      </c>
      <c r="V1073" s="67">
        <f t="shared" ca="1" si="1271"/>
        <v>0</v>
      </c>
    </row>
    <row r="1074" spans="1:22" s="35" customFormat="1" ht="5.0999999999999996" customHeight="1" outlineLevel="1" thickBot="1">
      <c r="B1074" s="121"/>
      <c r="C1074" s="121"/>
      <c r="D1074" s="233"/>
      <c r="E1074" s="233"/>
      <c r="F1074" s="234"/>
      <c r="G1074" s="234"/>
      <c r="H1074" s="234"/>
      <c r="I1074" s="234"/>
      <c r="J1074" s="233"/>
      <c r="K1074" s="234"/>
      <c r="L1074" s="233"/>
      <c r="M1074" s="234"/>
      <c r="N1074" s="234"/>
      <c r="O1074" s="234"/>
      <c r="P1074" s="234"/>
      <c r="Q1074" s="234"/>
      <c r="R1074" s="234"/>
      <c r="S1074" s="234"/>
      <c r="T1074" s="234"/>
      <c r="U1074" s="234"/>
      <c r="V1074" s="234"/>
    </row>
    <row r="1075" spans="1:22" ht="13.5" customHeight="1" outlineLevel="1"/>
    <row r="1076" spans="1:22" ht="13.5" customHeight="1" outlineLevel="1" thickBot="1"/>
    <row r="1077" spans="1:22" s="35" customFormat="1" ht="20.100000000000001" customHeight="1" thickTop="1">
      <c r="A1077" s="41" t="s">
        <v>426</v>
      </c>
      <c r="B1077" s="42" t="s">
        <v>492</v>
      </c>
      <c r="C1077" s="43"/>
      <c r="D1077" s="44"/>
      <c r="E1077" s="44"/>
      <c r="F1077" s="44"/>
      <c r="G1077" s="44"/>
      <c r="H1077" s="44"/>
      <c r="I1077" s="44"/>
      <c r="J1077" s="44"/>
      <c r="K1077" s="44"/>
      <c r="L1077" s="44"/>
      <c r="M1077" s="44"/>
      <c r="N1077" s="44"/>
      <c r="O1077" s="44"/>
      <c r="P1077" s="44"/>
      <c r="Q1077" s="44"/>
      <c r="R1077" s="44"/>
      <c r="S1077" s="44"/>
      <c r="T1077" s="44"/>
      <c r="U1077" s="44"/>
      <c r="V1077" s="44"/>
    </row>
    <row r="1078" spans="1:22" s="35" customFormat="1" ht="5.0999999999999996" customHeight="1" outlineLevel="1">
      <c r="L1078" s="304"/>
      <c r="M1078" s="304"/>
      <c r="N1078" s="304"/>
      <c r="O1078" s="304"/>
      <c r="P1078" s="304"/>
      <c r="Q1078" s="304"/>
      <c r="R1078" s="304"/>
      <c r="S1078" s="304"/>
      <c r="T1078" s="304"/>
      <c r="U1078" s="304"/>
      <c r="V1078" s="304"/>
    </row>
    <row r="1079" spans="1:22" s="35" customFormat="1" ht="13.5" customHeight="1" outlineLevel="1">
      <c r="B1079" s="46" t="s">
        <v>493</v>
      </c>
      <c r="C1079" s="47"/>
      <c r="D1079" s="47"/>
      <c r="E1079" s="47"/>
      <c r="F1079" s="47"/>
      <c r="G1079" s="47"/>
      <c r="H1079" s="47"/>
      <c r="I1079" s="47"/>
      <c r="J1079" s="47"/>
      <c r="K1079" s="47"/>
      <c r="L1079" s="47"/>
      <c r="M1079" s="47"/>
      <c r="N1079" s="47"/>
      <c r="O1079" s="47"/>
      <c r="P1079" s="47"/>
      <c r="Q1079" s="47"/>
      <c r="R1079" s="47"/>
      <c r="S1079" s="47"/>
      <c r="T1079" s="47"/>
      <c r="U1079" s="47"/>
      <c r="V1079" s="48"/>
    </row>
    <row r="1080" spans="1:22" ht="5.0999999999999996" customHeight="1" outlineLevel="1"/>
    <row r="1081" spans="1:22" ht="13.5" customHeight="1" outlineLevel="1">
      <c r="B1081" s="38" t="s">
        <v>494</v>
      </c>
      <c r="C1081" s="339"/>
      <c r="E1081" s="340">
        <f>P10</f>
        <v>12.81</v>
      </c>
    </row>
    <row r="1082" spans="1:22" ht="13.5" customHeight="1" outlineLevel="1">
      <c r="B1082" s="38" t="s">
        <v>133</v>
      </c>
      <c r="C1082" s="339"/>
      <c r="E1082" s="340">
        <f>P12</f>
        <v>16.012499999999999</v>
      </c>
    </row>
    <row r="1083" spans="1:22" ht="13.5" customHeight="1" outlineLevel="1"/>
    <row r="1084" spans="1:22" ht="13.5" customHeight="1" outlineLevel="1">
      <c r="B1084" s="263"/>
      <c r="C1084" s="263"/>
      <c r="E1084" s="341" t="s">
        <v>495</v>
      </c>
      <c r="F1084" s="341"/>
      <c r="G1084" s="341"/>
      <c r="H1084" s="341"/>
      <c r="I1084" s="341" t="s">
        <v>496</v>
      </c>
      <c r="J1084" s="341"/>
      <c r="K1084" s="341"/>
    </row>
    <row r="1085" spans="1:22" ht="13.5" customHeight="1" outlineLevel="1">
      <c r="B1085" s="342"/>
      <c r="C1085" s="263"/>
      <c r="E1085" s="49" t="s">
        <v>3</v>
      </c>
      <c r="F1085" s="49" t="s">
        <v>4</v>
      </c>
      <c r="G1085" s="49" t="s">
        <v>514</v>
      </c>
      <c r="H1085" s="49" t="s">
        <v>515</v>
      </c>
      <c r="I1085" s="49" t="s">
        <v>3</v>
      </c>
      <c r="J1085" s="49" t="s">
        <v>4</v>
      </c>
      <c r="K1085" s="49" t="s">
        <v>5</v>
      </c>
    </row>
    <row r="1086" spans="1:22" ht="13.5" customHeight="1" outlineLevel="1" thickBot="1">
      <c r="B1086" s="130" t="s">
        <v>529</v>
      </c>
      <c r="C1086" s="343"/>
      <c r="D1086" s="343"/>
      <c r="E1086" s="98" t="s">
        <v>22</v>
      </c>
      <c r="F1086" s="98" t="s">
        <v>7</v>
      </c>
      <c r="G1086" s="98" t="s">
        <v>22</v>
      </c>
      <c r="H1086" s="98" t="s">
        <v>513</v>
      </c>
      <c r="I1086" s="98" t="s">
        <v>22</v>
      </c>
      <c r="J1086" s="98" t="s">
        <v>7</v>
      </c>
      <c r="K1086" s="98" t="s">
        <v>497</v>
      </c>
    </row>
    <row r="1087" spans="1:22" ht="5.0999999999999996" customHeight="1" outlineLevel="1">
      <c r="B1087" s="263"/>
      <c r="C1087" s="263"/>
      <c r="E1087" s="263"/>
      <c r="F1087" s="263"/>
      <c r="I1087" s="263"/>
      <c r="J1087" s="263"/>
      <c r="K1087" s="344"/>
    </row>
    <row r="1088" spans="1:22" ht="13.5" customHeight="1" outlineLevel="1">
      <c r="B1088" s="345" t="s">
        <v>9</v>
      </c>
      <c r="C1088" s="263"/>
      <c r="E1088" s="535">
        <v>0.40200000000000002</v>
      </c>
      <c r="F1088" s="536">
        <v>9.1300000000000008</v>
      </c>
      <c r="G1088" s="60">
        <f>IF(F1088&gt;$E$1082,0,E1088)</f>
        <v>0.40200000000000002</v>
      </c>
      <c r="H1088" s="84">
        <f t="shared" ref="H1088:H1097" si="1272">F1088*G1088</f>
        <v>3.6702600000000007</v>
      </c>
      <c r="I1088" s="535">
        <v>0.20899999999999999</v>
      </c>
      <c r="J1088" s="536">
        <v>9.0399999999999991</v>
      </c>
      <c r="K1088" s="60">
        <f t="shared" ref="K1088:K1097" si="1273">IF($J1088&gt;$E$1081,0,$I1088-$I1088*$J1088/$E$1081)</f>
        <v>6.1508977361436401E-2</v>
      </c>
    </row>
    <row r="1089" spans="2:22" ht="13.5" customHeight="1" outlineLevel="1">
      <c r="B1089" s="345" t="s">
        <v>10</v>
      </c>
      <c r="C1089" s="263"/>
      <c r="E1089" s="535">
        <v>0.12</v>
      </c>
      <c r="F1089" s="537">
        <v>9.93</v>
      </c>
      <c r="G1089" s="60">
        <f t="shared" ref="G1089:G1097" si="1274">IF(F1089&gt;$E$1082,0,E1089)</f>
        <v>0.12</v>
      </c>
      <c r="H1089" s="83">
        <f t="shared" si="1272"/>
        <v>1.1916</v>
      </c>
      <c r="I1089" s="535">
        <v>5.8999999999999997E-2</v>
      </c>
      <c r="J1089" s="537">
        <v>10.029999999999999</v>
      </c>
      <c r="K1089" s="60">
        <f t="shared" si="1273"/>
        <v>1.2804059328649496E-2</v>
      </c>
    </row>
    <row r="1090" spans="2:22" ht="13.5" customHeight="1" outlineLevel="1">
      <c r="B1090" s="345" t="s">
        <v>11</v>
      </c>
      <c r="C1090" s="263"/>
      <c r="E1090" s="535">
        <v>0.46600000000000003</v>
      </c>
      <c r="F1090" s="537">
        <v>11.6</v>
      </c>
      <c r="G1090" s="60">
        <f t="shared" si="1274"/>
        <v>0.46600000000000003</v>
      </c>
      <c r="H1090" s="83">
        <f t="shared" si="1272"/>
        <v>5.4055999999999997</v>
      </c>
      <c r="I1090" s="535">
        <v>0.221</v>
      </c>
      <c r="J1090" s="537">
        <v>11.53</v>
      </c>
      <c r="K1090" s="60">
        <f t="shared" si="1273"/>
        <v>2.2082747853239659E-2</v>
      </c>
    </row>
    <row r="1091" spans="2:22" ht="13.5" customHeight="1" outlineLevel="1">
      <c r="B1091" s="345" t="s">
        <v>12</v>
      </c>
      <c r="C1091" s="263"/>
      <c r="E1091" s="535">
        <v>0.3</v>
      </c>
      <c r="F1091" s="537">
        <v>12.64</v>
      </c>
      <c r="G1091" s="60">
        <f t="shared" si="1274"/>
        <v>0.3</v>
      </c>
      <c r="H1091" s="83">
        <f t="shared" si="1272"/>
        <v>3.7919999999999998</v>
      </c>
      <c r="I1091" s="535">
        <v>0.3</v>
      </c>
      <c r="J1091" s="537">
        <v>12.69</v>
      </c>
      <c r="K1091" s="60">
        <f t="shared" si="1273"/>
        <v>2.8103044496487484E-3</v>
      </c>
    </row>
    <row r="1092" spans="2:22" ht="13.5" customHeight="1" outlineLevel="1">
      <c r="B1092" s="345" t="s">
        <v>13</v>
      </c>
      <c r="C1092" s="263"/>
      <c r="E1092" s="535">
        <v>0.52</v>
      </c>
      <c r="F1092" s="537">
        <v>19.48</v>
      </c>
      <c r="G1092" s="60">
        <f t="shared" si="1274"/>
        <v>0</v>
      </c>
      <c r="H1092" s="83">
        <f t="shared" si="1272"/>
        <v>0</v>
      </c>
      <c r="I1092" s="535">
        <v>0.26900000000000002</v>
      </c>
      <c r="J1092" s="537">
        <v>19.54</v>
      </c>
      <c r="K1092" s="60">
        <f t="shared" si="1273"/>
        <v>0</v>
      </c>
    </row>
    <row r="1093" spans="2:22" ht="13.5" customHeight="1" outlineLevel="1">
      <c r="B1093" s="345" t="s">
        <v>14</v>
      </c>
      <c r="C1093" s="263"/>
      <c r="E1093" s="535">
        <v>0.42199999999999999</v>
      </c>
      <c r="F1093" s="537">
        <v>27.03</v>
      </c>
      <c r="G1093" s="60">
        <f t="shared" si="1274"/>
        <v>0</v>
      </c>
      <c r="H1093" s="83">
        <f t="shared" si="1272"/>
        <v>0</v>
      </c>
      <c r="I1093" s="535">
        <v>0.21099999999999999</v>
      </c>
      <c r="J1093" s="537">
        <v>27.06</v>
      </c>
      <c r="K1093" s="60">
        <f t="shared" si="1273"/>
        <v>0</v>
      </c>
    </row>
    <row r="1094" spans="2:22" ht="13.5" customHeight="1" outlineLevel="1">
      <c r="B1094" s="345" t="s">
        <v>15</v>
      </c>
      <c r="C1094" s="263"/>
      <c r="E1094" s="535">
        <v>0.375</v>
      </c>
      <c r="F1094" s="537">
        <v>45.78</v>
      </c>
      <c r="G1094" s="60">
        <f t="shared" si="1274"/>
        <v>0</v>
      </c>
      <c r="H1094" s="83">
        <f t="shared" si="1272"/>
        <v>0</v>
      </c>
      <c r="I1094" s="535">
        <v>0.187</v>
      </c>
      <c r="J1094" s="537">
        <v>45.75</v>
      </c>
      <c r="K1094" s="60">
        <f t="shared" si="1273"/>
        <v>0</v>
      </c>
    </row>
    <row r="1095" spans="2:22" ht="13.5" customHeight="1" outlineLevel="1">
      <c r="B1095" s="345" t="s">
        <v>16</v>
      </c>
      <c r="C1095" s="263"/>
      <c r="E1095" s="535">
        <v>0</v>
      </c>
      <c r="F1095" s="537">
        <v>0</v>
      </c>
      <c r="G1095" s="60">
        <f t="shared" si="1274"/>
        <v>0</v>
      </c>
      <c r="H1095" s="83">
        <f t="shared" si="1272"/>
        <v>0</v>
      </c>
      <c r="I1095" s="535">
        <v>0</v>
      </c>
      <c r="J1095" s="537">
        <v>0</v>
      </c>
      <c r="K1095" s="60">
        <f t="shared" si="1273"/>
        <v>0</v>
      </c>
    </row>
    <row r="1096" spans="2:22" ht="13.5" customHeight="1" outlineLevel="1">
      <c r="B1096" s="345" t="s">
        <v>17</v>
      </c>
      <c r="C1096" s="263"/>
      <c r="E1096" s="535">
        <v>0</v>
      </c>
      <c r="F1096" s="537">
        <v>0</v>
      </c>
      <c r="G1096" s="60">
        <f t="shared" si="1274"/>
        <v>0</v>
      </c>
      <c r="H1096" s="83">
        <f t="shared" si="1272"/>
        <v>0</v>
      </c>
      <c r="I1096" s="535">
        <v>0</v>
      </c>
      <c r="J1096" s="537">
        <v>0</v>
      </c>
      <c r="K1096" s="60">
        <f t="shared" si="1273"/>
        <v>0</v>
      </c>
    </row>
    <row r="1097" spans="2:22" ht="13.5" customHeight="1" outlineLevel="1">
      <c r="B1097" s="345" t="s">
        <v>18</v>
      </c>
      <c r="C1097" s="263"/>
      <c r="E1097" s="535">
        <v>0</v>
      </c>
      <c r="F1097" s="537">
        <v>0</v>
      </c>
      <c r="G1097" s="60">
        <f t="shared" si="1274"/>
        <v>0</v>
      </c>
      <c r="H1097" s="83">
        <f t="shared" si="1272"/>
        <v>0</v>
      </c>
      <c r="I1097" s="535">
        <v>0</v>
      </c>
      <c r="J1097" s="537">
        <v>0</v>
      </c>
      <c r="K1097" s="60">
        <f t="shared" si="1273"/>
        <v>0</v>
      </c>
    </row>
    <row r="1098" spans="2:22" ht="13.5" customHeight="1" outlineLevel="1">
      <c r="B1098" s="52" t="s">
        <v>19</v>
      </c>
      <c r="C1098" s="52"/>
      <c r="D1098" s="52"/>
      <c r="E1098" s="52"/>
      <c r="F1098" s="70"/>
      <c r="G1098" s="70">
        <f>SUM(G1088:G1097)</f>
        <v>1.288</v>
      </c>
      <c r="H1098" s="67">
        <f>SUM(H1088:H1097)</f>
        <v>14.05946</v>
      </c>
      <c r="I1098" s="70"/>
      <c r="J1098" s="70"/>
      <c r="K1098" s="70">
        <f>SUM(K1088:K1097)</f>
        <v>9.9206088992974312E-2</v>
      </c>
    </row>
    <row r="1099" spans="2:22" ht="13.5" customHeight="1" outlineLevel="1"/>
    <row r="1100" spans="2:22" s="35" customFormat="1" ht="13.5" customHeight="1" outlineLevel="1">
      <c r="B1100" s="46" t="s">
        <v>498</v>
      </c>
      <c r="C1100" s="47"/>
      <c r="D1100" s="47"/>
      <c r="E1100" s="47"/>
      <c r="F1100" s="47"/>
      <c r="G1100" s="47"/>
      <c r="H1100" s="47"/>
      <c r="I1100" s="47"/>
      <c r="J1100" s="47"/>
      <c r="K1100" s="47"/>
      <c r="L1100" s="47"/>
      <c r="M1100" s="47"/>
      <c r="N1100" s="47"/>
      <c r="O1100" s="47"/>
      <c r="P1100" s="47"/>
      <c r="Q1100" s="47"/>
      <c r="R1100" s="47"/>
      <c r="S1100" s="47"/>
      <c r="T1100" s="47"/>
      <c r="U1100" s="47"/>
      <c r="V1100" s="48"/>
    </row>
    <row r="1101" spans="2:22" ht="5.0999999999999996" customHeight="1" outlineLevel="1"/>
    <row r="1102" spans="2:22" s="203" customFormat="1" ht="13.5" customHeight="1" outlineLevel="1">
      <c r="E1102" s="205" t="s">
        <v>72</v>
      </c>
      <c r="F1102" s="205" t="s">
        <v>196</v>
      </c>
      <c r="G1102" s="205"/>
      <c r="H1102" s="205"/>
      <c r="I1102" s="205"/>
      <c r="J1102" s="206" t="s">
        <v>194</v>
      </c>
      <c r="K1102" s="205"/>
      <c r="L1102" s="126" t="s">
        <v>23</v>
      </c>
      <c r="M1102" s="126" t="str">
        <f>M$144</f>
        <v>3 Quarters</v>
      </c>
      <c r="N1102" s="205" t="str">
        <f>N$144</f>
        <v>Fiscal Years Ending September 30,</v>
      </c>
      <c r="O1102" s="205"/>
      <c r="P1102" s="205"/>
      <c r="Q1102" s="205"/>
      <c r="R1102" s="205"/>
      <c r="S1102" s="205"/>
      <c r="T1102" s="205"/>
      <c r="U1102" s="205"/>
      <c r="V1102" s="205"/>
    </row>
    <row r="1103" spans="2:22" s="203" customFormat="1" outlineLevel="1">
      <c r="E1103" s="109" t="str">
        <f>E$145</f>
        <v>MRQ</v>
      </c>
      <c r="F1103" s="109" t="str">
        <f>F$145</f>
        <v>MRQ+1</v>
      </c>
      <c r="G1103" s="109" t="str">
        <f t="shared" ref="G1103:I1103" si="1275">G$145</f>
        <v>MRQ+2</v>
      </c>
      <c r="H1103" s="109" t="str">
        <f t="shared" si="1275"/>
        <v>MRQ+3</v>
      </c>
      <c r="I1103" s="109" t="str">
        <f t="shared" si="1275"/>
        <v>MRQ+4</v>
      </c>
      <c r="J1103" s="126" t="s">
        <v>195</v>
      </c>
      <c r="K1103" s="206" t="s">
        <v>606</v>
      </c>
      <c r="L1103" s="126" t="s">
        <v>195</v>
      </c>
      <c r="M1103" s="109" t="str">
        <f t="shared" ref="M1103" si="1276">M$145</f>
        <v>Ending</v>
      </c>
      <c r="N1103" s="109">
        <f>N$145</f>
        <v>2</v>
      </c>
      <c r="O1103" s="109">
        <f t="shared" ref="O1103:V1103" si="1277">O$145</f>
        <v>3</v>
      </c>
      <c r="P1103" s="109">
        <f t="shared" si="1277"/>
        <v>4</v>
      </c>
      <c r="Q1103" s="109">
        <f t="shared" si="1277"/>
        <v>5</v>
      </c>
      <c r="R1103" s="109">
        <f t="shared" si="1277"/>
        <v>6</v>
      </c>
      <c r="S1103" s="109">
        <f t="shared" si="1277"/>
        <v>7</v>
      </c>
      <c r="T1103" s="109">
        <f t="shared" si="1277"/>
        <v>8</v>
      </c>
      <c r="U1103" s="109">
        <f t="shared" si="1277"/>
        <v>9</v>
      </c>
      <c r="V1103" s="109">
        <f t="shared" si="1277"/>
        <v>10</v>
      </c>
    </row>
    <row r="1104" spans="2:22" s="203" customFormat="1" ht="13.5" customHeight="1" outlineLevel="1" thickBot="1">
      <c r="B1104" s="130" t="s">
        <v>246</v>
      </c>
      <c r="C1104" s="208"/>
      <c r="D1104" s="208"/>
      <c r="E1104" s="209">
        <f>E$146</f>
        <v>45016</v>
      </c>
      <c r="F1104" s="209">
        <f>F$146</f>
        <v>45107</v>
      </c>
      <c r="G1104" s="209">
        <f t="shared" ref="G1104:I1104" si="1278">G$146</f>
        <v>45199</v>
      </c>
      <c r="H1104" s="209">
        <f t="shared" si="1278"/>
        <v>45291</v>
      </c>
      <c r="I1104" s="209">
        <f t="shared" si="1278"/>
        <v>45382</v>
      </c>
      <c r="J1104" s="209">
        <f>close</f>
        <v>45291</v>
      </c>
      <c r="K1104" s="210" t="s">
        <v>597</v>
      </c>
      <c r="L1104" s="209">
        <f>close</f>
        <v>45291</v>
      </c>
      <c r="M1104" s="209">
        <f t="shared" ref="M1104" si="1279">M$146</f>
        <v>45565</v>
      </c>
      <c r="N1104" s="211">
        <f>N$146</f>
        <v>45930</v>
      </c>
      <c r="O1104" s="211">
        <f t="shared" ref="O1104:V1104" si="1280">O$146</f>
        <v>46295</v>
      </c>
      <c r="P1104" s="211">
        <f t="shared" si="1280"/>
        <v>46660</v>
      </c>
      <c r="Q1104" s="211">
        <f t="shared" si="1280"/>
        <v>47026</v>
      </c>
      <c r="R1104" s="211">
        <f t="shared" si="1280"/>
        <v>47391</v>
      </c>
      <c r="S1104" s="211">
        <f t="shared" si="1280"/>
        <v>47756</v>
      </c>
      <c r="T1104" s="211">
        <f t="shared" si="1280"/>
        <v>48121</v>
      </c>
      <c r="U1104" s="211">
        <f t="shared" si="1280"/>
        <v>48487</v>
      </c>
      <c r="V1104" s="211">
        <f t="shared" si="1280"/>
        <v>48852</v>
      </c>
    </row>
    <row r="1105" spans="2:22" ht="5.0999999999999996" customHeight="1" outlineLevel="1"/>
    <row r="1106" spans="2:22" ht="13.5" customHeight="1" outlineLevel="1">
      <c r="B1106" s="346" t="s">
        <v>123</v>
      </c>
    </row>
    <row r="1107" spans="2:22" ht="13.5" customHeight="1" outlineLevel="1">
      <c r="B1107" s="38" t="str">
        <f>B1300</f>
        <v>Legacy debt</v>
      </c>
      <c r="E1107" s="213">
        <f>E273</f>
        <v>230</v>
      </c>
      <c r="F1107" s="54">
        <f>E1107</f>
        <v>230</v>
      </c>
      <c r="G1107" s="54">
        <f t="shared" ref="G1107:I1107" si="1281">F1107</f>
        <v>230</v>
      </c>
      <c r="H1107" s="54">
        <f t="shared" si="1281"/>
        <v>230</v>
      </c>
      <c r="I1107" s="54">
        <f t="shared" si="1281"/>
        <v>230</v>
      </c>
      <c r="J1107" s="213"/>
      <c r="L1107" s="54">
        <f ca="1">L516</f>
        <v>0</v>
      </c>
      <c r="M1107" s="54">
        <f t="shared" ref="M1107:V1107" ca="1" si="1282">M516</f>
        <v>0</v>
      </c>
      <c r="N1107" s="54">
        <f t="shared" ca="1" si="1282"/>
        <v>0</v>
      </c>
      <c r="O1107" s="54">
        <f t="shared" ca="1" si="1282"/>
        <v>0</v>
      </c>
      <c r="P1107" s="54">
        <f t="shared" ca="1" si="1282"/>
        <v>0</v>
      </c>
      <c r="Q1107" s="54">
        <f t="shared" ca="1" si="1282"/>
        <v>0</v>
      </c>
      <c r="R1107" s="54">
        <f t="shared" ca="1" si="1282"/>
        <v>0</v>
      </c>
      <c r="S1107" s="54">
        <f t="shared" ca="1" si="1282"/>
        <v>0</v>
      </c>
      <c r="T1107" s="54">
        <f t="shared" ca="1" si="1282"/>
        <v>0</v>
      </c>
      <c r="U1107" s="54">
        <f t="shared" ca="1" si="1282"/>
        <v>0</v>
      </c>
      <c r="V1107" s="54">
        <f t="shared" ca="1" si="1282"/>
        <v>0</v>
      </c>
    </row>
    <row r="1108" spans="2:22" ht="13.5" customHeight="1" outlineLevel="1">
      <c r="B1108" s="38" t="str">
        <f t="shared" ref="B1108:B1117" si="1283">B1302</f>
        <v>Term loan - A</v>
      </c>
      <c r="E1108" s="508">
        <v>0</v>
      </c>
      <c r="F1108" s="54">
        <f>E1108</f>
        <v>0</v>
      </c>
      <c r="G1108" s="54">
        <f t="shared" ref="G1108:I1108" si="1284">F1108</f>
        <v>0</v>
      </c>
      <c r="H1108" s="54">
        <f t="shared" si="1284"/>
        <v>0</v>
      </c>
      <c r="I1108" s="54">
        <f t="shared" si="1284"/>
        <v>0</v>
      </c>
      <c r="J1108" s="213"/>
      <c r="L1108" s="54">
        <f t="shared" ref="L1108:V1108" si="1285">L545</f>
        <v>50</v>
      </c>
      <c r="M1108" s="54">
        <f t="shared" ca="1" si="1285"/>
        <v>0</v>
      </c>
      <c r="N1108" s="54">
        <f t="shared" ca="1" si="1285"/>
        <v>0</v>
      </c>
      <c r="O1108" s="54">
        <f t="shared" ca="1" si="1285"/>
        <v>0</v>
      </c>
      <c r="P1108" s="54">
        <f t="shared" ca="1" si="1285"/>
        <v>0</v>
      </c>
      <c r="Q1108" s="54">
        <f t="shared" ca="1" si="1285"/>
        <v>0</v>
      </c>
      <c r="R1108" s="54">
        <f t="shared" ca="1" si="1285"/>
        <v>0</v>
      </c>
      <c r="S1108" s="54">
        <f t="shared" ca="1" si="1285"/>
        <v>0</v>
      </c>
      <c r="T1108" s="54">
        <f t="shared" ca="1" si="1285"/>
        <v>0</v>
      </c>
      <c r="U1108" s="54">
        <f t="shared" ca="1" si="1285"/>
        <v>0</v>
      </c>
      <c r="V1108" s="54">
        <f t="shared" ca="1" si="1285"/>
        <v>0</v>
      </c>
    </row>
    <row r="1109" spans="2:22" ht="13.5" customHeight="1" outlineLevel="1">
      <c r="B1109" s="38" t="str">
        <f t="shared" si="1283"/>
        <v>Term loan - B</v>
      </c>
      <c r="E1109" s="508">
        <v>0</v>
      </c>
      <c r="F1109" s="54">
        <f t="shared" ref="F1109:I1109" si="1286">E1109</f>
        <v>0</v>
      </c>
      <c r="G1109" s="54">
        <f t="shared" si="1286"/>
        <v>0</v>
      </c>
      <c r="H1109" s="54">
        <f t="shared" si="1286"/>
        <v>0</v>
      </c>
      <c r="I1109" s="54">
        <f t="shared" si="1286"/>
        <v>0</v>
      </c>
      <c r="J1109" s="213"/>
      <c r="L1109" s="54">
        <f t="shared" ref="L1109:V1109" si="1287">L574</f>
        <v>0</v>
      </c>
      <c r="M1109" s="54">
        <f t="shared" ca="1" si="1287"/>
        <v>0</v>
      </c>
      <c r="N1109" s="54">
        <f t="shared" ca="1" si="1287"/>
        <v>0</v>
      </c>
      <c r="O1109" s="54">
        <f t="shared" ca="1" si="1287"/>
        <v>0</v>
      </c>
      <c r="P1109" s="54">
        <f t="shared" ca="1" si="1287"/>
        <v>0</v>
      </c>
      <c r="Q1109" s="54">
        <f t="shared" ca="1" si="1287"/>
        <v>0</v>
      </c>
      <c r="R1109" s="54">
        <f t="shared" ca="1" si="1287"/>
        <v>0</v>
      </c>
      <c r="S1109" s="54">
        <f t="shared" ca="1" si="1287"/>
        <v>0</v>
      </c>
      <c r="T1109" s="54">
        <f t="shared" ca="1" si="1287"/>
        <v>0</v>
      </c>
      <c r="U1109" s="54">
        <f t="shared" ca="1" si="1287"/>
        <v>0</v>
      </c>
      <c r="V1109" s="54">
        <f t="shared" ca="1" si="1287"/>
        <v>0</v>
      </c>
    </row>
    <row r="1110" spans="2:22" ht="13.5" customHeight="1" outlineLevel="1">
      <c r="B1110" s="38" t="str">
        <f t="shared" si="1283"/>
        <v>Senior note</v>
      </c>
      <c r="E1110" s="508">
        <v>0</v>
      </c>
      <c r="F1110" s="54">
        <f t="shared" ref="F1110:I1110" si="1288">E1110</f>
        <v>0</v>
      </c>
      <c r="G1110" s="54">
        <f t="shared" si="1288"/>
        <v>0</v>
      </c>
      <c r="H1110" s="54">
        <f t="shared" si="1288"/>
        <v>0</v>
      </c>
      <c r="I1110" s="54">
        <f t="shared" si="1288"/>
        <v>0</v>
      </c>
      <c r="J1110" s="213"/>
      <c r="L1110" s="54">
        <f t="shared" ref="L1110:V1110" si="1289">L603</f>
        <v>100</v>
      </c>
      <c r="M1110" s="54">
        <f t="shared" ca="1" si="1289"/>
        <v>100</v>
      </c>
      <c r="N1110" s="54">
        <f t="shared" ca="1" si="1289"/>
        <v>100</v>
      </c>
      <c r="O1110" s="54">
        <f t="shared" ca="1" si="1289"/>
        <v>100</v>
      </c>
      <c r="P1110" s="54">
        <f t="shared" ca="1" si="1289"/>
        <v>100</v>
      </c>
      <c r="Q1110" s="54">
        <f t="shared" ca="1" si="1289"/>
        <v>100</v>
      </c>
      <c r="R1110" s="54">
        <f t="shared" ca="1" si="1289"/>
        <v>100</v>
      </c>
      <c r="S1110" s="54">
        <f t="shared" ca="1" si="1289"/>
        <v>100</v>
      </c>
      <c r="T1110" s="54">
        <f t="shared" ca="1" si="1289"/>
        <v>0</v>
      </c>
      <c r="U1110" s="54">
        <f t="shared" ca="1" si="1289"/>
        <v>0</v>
      </c>
      <c r="V1110" s="54">
        <f t="shared" ca="1" si="1289"/>
        <v>0</v>
      </c>
    </row>
    <row r="1111" spans="2:22" ht="13.5" customHeight="1" outlineLevel="1">
      <c r="B1111" s="38" t="str">
        <f t="shared" si="1283"/>
        <v>Subordinated note</v>
      </c>
      <c r="E1111" s="508">
        <v>0</v>
      </c>
      <c r="F1111" s="54">
        <f t="shared" ref="F1111:I1111" si="1290">E1111</f>
        <v>0</v>
      </c>
      <c r="G1111" s="54">
        <f t="shared" si="1290"/>
        <v>0</v>
      </c>
      <c r="H1111" s="54">
        <f t="shared" si="1290"/>
        <v>0</v>
      </c>
      <c r="I1111" s="54">
        <f t="shared" si="1290"/>
        <v>0</v>
      </c>
      <c r="J1111" s="213"/>
      <c r="L1111" s="54">
        <f t="shared" ref="L1111:V1111" si="1291">L632</f>
        <v>50</v>
      </c>
      <c r="M1111" s="54">
        <f t="shared" ca="1" si="1291"/>
        <v>50</v>
      </c>
      <c r="N1111" s="54">
        <f t="shared" ca="1" si="1291"/>
        <v>50</v>
      </c>
      <c r="O1111" s="54">
        <f t="shared" ca="1" si="1291"/>
        <v>50</v>
      </c>
      <c r="P1111" s="54">
        <f t="shared" ca="1" si="1291"/>
        <v>50</v>
      </c>
      <c r="Q1111" s="54">
        <f t="shared" ca="1" si="1291"/>
        <v>50</v>
      </c>
      <c r="R1111" s="54">
        <f t="shared" ca="1" si="1291"/>
        <v>0</v>
      </c>
      <c r="S1111" s="54">
        <f t="shared" ca="1" si="1291"/>
        <v>0</v>
      </c>
      <c r="T1111" s="54">
        <f t="shared" ca="1" si="1291"/>
        <v>0</v>
      </c>
      <c r="U1111" s="54">
        <f t="shared" ca="1" si="1291"/>
        <v>0</v>
      </c>
      <c r="V1111" s="54">
        <f t="shared" ca="1" si="1291"/>
        <v>0</v>
      </c>
    </row>
    <row r="1112" spans="2:22" ht="13.5" customHeight="1" outlineLevel="1">
      <c r="B1112" s="38" t="str">
        <f t="shared" si="1283"/>
        <v>Mezzanine</v>
      </c>
      <c r="E1112" s="508">
        <v>0</v>
      </c>
      <c r="F1112" s="54">
        <f t="shared" ref="F1112:I1112" si="1292">E1112</f>
        <v>0</v>
      </c>
      <c r="G1112" s="54">
        <f t="shared" si="1292"/>
        <v>0</v>
      </c>
      <c r="H1112" s="54">
        <f t="shared" si="1292"/>
        <v>0</v>
      </c>
      <c r="I1112" s="54">
        <f t="shared" si="1292"/>
        <v>0</v>
      </c>
      <c r="J1112" s="213"/>
      <c r="L1112" s="54">
        <f t="shared" ref="L1112:V1112" si="1293">L661</f>
        <v>0</v>
      </c>
      <c r="M1112" s="54">
        <f t="shared" ca="1" si="1293"/>
        <v>0</v>
      </c>
      <c r="N1112" s="54">
        <f t="shared" ca="1" si="1293"/>
        <v>0</v>
      </c>
      <c r="O1112" s="54">
        <f t="shared" ca="1" si="1293"/>
        <v>0</v>
      </c>
      <c r="P1112" s="54">
        <f t="shared" ca="1" si="1293"/>
        <v>0</v>
      </c>
      <c r="Q1112" s="54">
        <f t="shared" ca="1" si="1293"/>
        <v>0</v>
      </c>
      <c r="R1112" s="54">
        <f t="shared" ca="1" si="1293"/>
        <v>0</v>
      </c>
      <c r="S1112" s="54">
        <f t="shared" ca="1" si="1293"/>
        <v>0</v>
      </c>
      <c r="T1112" s="54">
        <f t="shared" ca="1" si="1293"/>
        <v>0</v>
      </c>
      <c r="U1112" s="54">
        <f t="shared" ca="1" si="1293"/>
        <v>0</v>
      </c>
      <c r="V1112" s="54">
        <f t="shared" ca="1" si="1293"/>
        <v>0</v>
      </c>
    </row>
    <row r="1113" spans="2:22" ht="13.5" customHeight="1" outlineLevel="1">
      <c r="B1113" s="38" t="str">
        <f t="shared" si="1283"/>
        <v>Seller note</v>
      </c>
      <c r="E1113" s="508">
        <v>0</v>
      </c>
      <c r="F1113" s="54">
        <f t="shared" ref="F1113:I1113" si="1294">E1113</f>
        <v>0</v>
      </c>
      <c r="G1113" s="54">
        <f t="shared" si="1294"/>
        <v>0</v>
      </c>
      <c r="H1113" s="54">
        <f t="shared" si="1294"/>
        <v>0</v>
      </c>
      <c r="I1113" s="54">
        <f t="shared" si="1294"/>
        <v>0</v>
      </c>
      <c r="J1113" s="213"/>
      <c r="L1113" s="54">
        <f t="shared" ref="L1113:V1113" si="1295">L690</f>
        <v>0</v>
      </c>
      <c r="M1113" s="54">
        <f t="shared" ca="1" si="1295"/>
        <v>0</v>
      </c>
      <c r="N1113" s="54">
        <f t="shared" ca="1" si="1295"/>
        <v>0</v>
      </c>
      <c r="O1113" s="54">
        <f t="shared" ca="1" si="1295"/>
        <v>0</v>
      </c>
      <c r="P1113" s="54">
        <f t="shared" ca="1" si="1295"/>
        <v>0</v>
      </c>
      <c r="Q1113" s="54">
        <f t="shared" ca="1" si="1295"/>
        <v>0</v>
      </c>
      <c r="R1113" s="54">
        <f t="shared" ca="1" si="1295"/>
        <v>0</v>
      </c>
      <c r="S1113" s="54">
        <f t="shared" ca="1" si="1295"/>
        <v>0</v>
      </c>
      <c r="T1113" s="54">
        <f t="shared" ca="1" si="1295"/>
        <v>0</v>
      </c>
      <c r="U1113" s="54">
        <f t="shared" ca="1" si="1295"/>
        <v>0</v>
      </c>
      <c r="V1113" s="54">
        <f t="shared" ca="1" si="1295"/>
        <v>0</v>
      </c>
    </row>
    <row r="1114" spans="2:22" ht="13.5" customHeight="1" outlineLevel="1">
      <c r="B1114" s="38" t="str">
        <f t="shared" si="1283"/>
        <v>Convertible bond</v>
      </c>
      <c r="E1114" s="508">
        <v>0</v>
      </c>
      <c r="F1114" s="54">
        <f t="shared" ref="F1114:I1114" si="1296">E1114</f>
        <v>0</v>
      </c>
      <c r="G1114" s="54">
        <f t="shared" si="1296"/>
        <v>0</v>
      </c>
      <c r="H1114" s="54">
        <f t="shared" si="1296"/>
        <v>0</v>
      </c>
      <c r="I1114" s="54">
        <f t="shared" si="1296"/>
        <v>0</v>
      </c>
      <c r="J1114" s="213"/>
      <c r="L1114" s="54">
        <f t="shared" ref="L1114:V1114" si="1297">L719</f>
        <v>0</v>
      </c>
      <c r="M1114" s="54">
        <f t="shared" ca="1" si="1297"/>
        <v>0</v>
      </c>
      <c r="N1114" s="54">
        <f t="shared" ca="1" si="1297"/>
        <v>0</v>
      </c>
      <c r="O1114" s="54">
        <f t="shared" ca="1" si="1297"/>
        <v>0</v>
      </c>
      <c r="P1114" s="54">
        <f t="shared" ca="1" si="1297"/>
        <v>0</v>
      </c>
      <c r="Q1114" s="54">
        <f t="shared" ca="1" si="1297"/>
        <v>0</v>
      </c>
      <c r="R1114" s="54">
        <f t="shared" ca="1" si="1297"/>
        <v>0</v>
      </c>
      <c r="S1114" s="54">
        <f t="shared" ca="1" si="1297"/>
        <v>0</v>
      </c>
      <c r="T1114" s="54">
        <f t="shared" ca="1" si="1297"/>
        <v>0</v>
      </c>
      <c r="U1114" s="54">
        <f t="shared" ca="1" si="1297"/>
        <v>0</v>
      </c>
      <c r="V1114" s="54">
        <f t="shared" ca="1" si="1297"/>
        <v>0</v>
      </c>
    </row>
    <row r="1115" spans="2:22" ht="13.5" customHeight="1" outlineLevel="1">
      <c r="B1115" s="38" t="str">
        <f t="shared" si="1283"/>
        <v>[Debt 8]</v>
      </c>
      <c r="E1115" s="508">
        <v>0</v>
      </c>
      <c r="F1115" s="54">
        <f t="shared" ref="F1115:I1115" si="1298">E1115</f>
        <v>0</v>
      </c>
      <c r="G1115" s="54">
        <f t="shared" si="1298"/>
        <v>0</v>
      </c>
      <c r="H1115" s="54">
        <f t="shared" si="1298"/>
        <v>0</v>
      </c>
      <c r="I1115" s="54">
        <f t="shared" si="1298"/>
        <v>0</v>
      </c>
      <c r="J1115" s="213"/>
      <c r="L1115" s="54">
        <f t="shared" ref="L1115:V1115" si="1299">L748</f>
        <v>0</v>
      </c>
      <c r="M1115" s="54">
        <f t="shared" ca="1" si="1299"/>
        <v>0</v>
      </c>
      <c r="N1115" s="54">
        <f t="shared" ca="1" si="1299"/>
        <v>0</v>
      </c>
      <c r="O1115" s="54">
        <f t="shared" ca="1" si="1299"/>
        <v>0</v>
      </c>
      <c r="P1115" s="54">
        <f t="shared" ca="1" si="1299"/>
        <v>0</v>
      </c>
      <c r="Q1115" s="54">
        <f t="shared" ca="1" si="1299"/>
        <v>0</v>
      </c>
      <c r="R1115" s="54">
        <f t="shared" ca="1" si="1299"/>
        <v>0</v>
      </c>
      <c r="S1115" s="54">
        <f t="shared" ca="1" si="1299"/>
        <v>0</v>
      </c>
      <c r="T1115" s="54">
        <f t="shared" ca="1" si="1299"/>
        <v>0</v>
      </c>
      <c r="U1115" s="54">
        <f t="shared" ca="1" si="1299"/>
        <v>0</v>
      </c>
      <c r="V1115" s="54">
        <f t="shared" ca="1" si="1299"/>
        <v>0</v>
      </c>
    </row>
    <row r="1116" spans="2:22" ht="13.5" customHeight="1" outlineLevel="1">
      <c r="B1116" s="38" t="str">
        <f t="shared" si="1283"/>
        <v>Preferred stock - A</v>
      </c>
      <c r="E1116" s="508">
        <v>0</v>
      </c>
      <c r="F1116" s="54">
        <f t="shared" ref="F1116:I1116" si="1300">E1116</f>
        <v>0</v>
      </c>
      <c r="G1116" s="54">
        <f t="shared" si="1300"/>
        <v>0</v>
      </c>
      <c r="H1116" s="54">
        <f t="shared" si="1300"/>
        <v>0</v>
      </c>
      <c r="I1116" s="54">
        <f t="shared" si="1300"/>
        <v>0</v>
      </c>
      <c r="J1116" s="213"/>
      <c r="L1116" s="54">
        <f t="shared" ref="L1116:V1116" si="1301">L777</f>
        <v>10</v>
      </c>
      <c r="M1116" s="54">
        <f t="shared" ca="1" si="1301"/>
        <v>10.99375</v>
      </c>
      <c r="N1116" s="54">
        <f t="shared" ca="1" si="1301"/>
        <v>12.438000000000001</v>
      </c>
      <c r="O1116" s="54">
        <f t="shared" ca="1" si="1301"/>
        <v>14.05556</v>
      </c>
      <c r="P1116" s="54">
        <f t="shared" ca="1" si="1301"/>
        <v>14.5084768</v>
      </c>
      <c r="Q1116" s="54">
        <f t="shared" ca="1" si="1301"/>
        <v>14.5084768</v>
      </c>
      <c r="R1116" s="54">
        <f t="shared" ca="1" si="1301"/>
        <v>14.5084768</v>
      </c>
      <c r="S1116" s="54">
        <f t="shared" ca="1" si="1301"/>
        <v>14.5084768</v>
      </c>
      <c r="T1116" s="54">
        <f t="shared" ca="1" si="1301"/>
        <v>14.5084768</v>
      </c>
      <c r="U1116" s="54">
        <f t="shared" ca="1" si="1301"/>
        <v>14.5084768</v>
      </c>
      <c r="V1116" s="54">
        <f t="shared" ca="1" si="1301"/>
        <v>14.5084768</v>
      </c>
    </row>
    <row r="1117" spans="2:22" ht="13.5" customHeight="1" outlineLevel="1">
      <c r="B1117" s="38" t="str">
        <f t="shared" si="1283"/>
        <v>Preferred stock - B</v>
      </c>
      <c r="E1117" s="508">
        <v>0</v>
      </c>
      <c r="F1117" s="54">
        <f t="shared" ref="F1117:I1117" si="1302">E1117</f>
        <v>0</v>
      </c>
      <c r="G1117" s="54">
        <f t="shared" si="1302"/>
        <v>0</v>
      </c>
      <c r="H1117" s="54">
        <f t="shared" si="1302"/>
        <v>0</v>
      </c>
      <c r="I1117" s="54">
        <f t="shared" si="1302"/>
        <v>0</v>
      </c>
      <c r="J1117" s="213"/>
      <c r="L1117" s="54">
        <f t="shared" ref="L1117:V1117" si="1303">L806</f>
        <v>0</v>
      </c>
      <c r="M1117" s="54">
        <f t="shared" ca="1" si="1303"/>
        <v>0</v>
      </c>
      <c r="N1117" s="54">
        <f t="shared" ca="1" si="1303"/>
        <v>0</v>
      </c>
      <c r="O1117" s="54">
        <f t="shared" ca="1" si="1303"/>
        <v>0</v>
      </c>
      <c r="P1117" s="54">
        <f t="shared" ca="1" si="1303"/>
        <v>0</v>
      </c>
      <c r="Q1117" s="54">
        <f t="shared" ca="1" si="1303"/>
        <v>0</v>
      </c>
      <c r="R1117" s="54">
        <f t="shared" ca="1" si="1303"/>
        <v>0</v>
      </c>
      <c r="S1117" s="54">
        <f t="shared" ca="1" si="1303"/>
        <v>0</v>
      </c>
      <c r="T1117" s="54">
        <f t="shared" ca="1" si="1303"/>
        <v>0</v>
      </c>
      <c r="U1117" s="54">
        <f t="shared" ca="1" si="1303"/>
        <v>0</v>
      </c>
      <c r="V1117" s="54">
        <f t="shared" ca="1" si="1303"/>
        <v>0</v>
      </c>
    </row>
    <row r="1118" spans="2:22" ht="13.5" customHeight="1" outlineLevel="1"/>
    <row r="1119" spans="2:22" ht="13.5" customHeight="1" outlineLevel="1">
      <c r="B1119" s="346" t="s">
        <v>125</v>
      </c>
    </row>
    <row r="1120" spans="2:22" ht="13.5" customHeight="1" outlineLevel="1">
      <c r="B1120" s="38" t="str">
        <f>B1300</f>
        <v>Legacy debt</v>
      </c>
      <c r="E1120" s="347">
        <f>IFERROR(E1107/$T1300,0)</f>
        <v>8.591707134852447</v>
      </c>
      <c r="F1120" s="347">
        <f>IFERROR(F1107/$T1300,0)</f>
        <v>8.591707134852447</v>
      </c>
      <c r="G1120" s="347">
        <f>IFERROR(G1107/$T1300,0)</f>
        <v>8.591707134852447</v>
      </c>
      <c r="H1120" s="347">
        <f>IFERROR(H1107/$T1300,0)</f>
        <v>8.591707134852447</v>
      </c>
      <c r="I1120" s="347">
        <f>IFERROR(I1107/$T1300,0)</f>
        <v>8.591707134852447</v>
      </c>
      <c r="L1120" s="347">
        <f t="shared" ref="L1120:V1120" ca="1" si="1304">IFERROR(L1107/$T1300,0)</f>
        <v>0</v>
      </c>
      <c r="M1120" s="347">
        <f t="shared" ca="1" si="1304"/>
        <v>0</v>
      </c>
      <c r="N1120" s="347">
        <f t="shared" ca="1" si="1304"/>
        <v>0</v>
      </c>
      <c r="O1120" s="347">
        <f t="shared" ca="1" si="1304"/>
        <v>0</v>
      </c>
      <c r="P1120" s="347">
        <f t="shared" ca="1" si="1304"/>
        <v>0</v>
      </c>
      <c r="Q1120" s="347">
        <f t="shared" ca="1" si="1304"/>
        <v>0</v>
      </c>
      <c r="R1120" s="347">
        <f t="shared" ca="1" si="1304"/>
        <v>0</v>
      </c>
      <c r="S1120" s="347">
        <f t="shared" ca="1" si="1304"/>
        <v>0</v>
      </c>
      <c r="T1120" s="347">
        <f t="shared" ca="1" si="1304"/>
        <v>0</v>
      </c>
      <c r="U1120" s="347">
        <f t="shared" ca="1" si="1304"/>
        <v>0</v>
      </c>
      <c r="V1120" s="347">
        <f t="shared" ca="1" si="1304"/>
        <v>0</v>
      </c>
    </row>
    <row r="1121" spans="2:22" ht="13.5" customHeight="1" outlineLevel="1">
      <c r="B1121" s="38" t="str">
        <f t="shared" ref="B1121:B1130" si="1305">B1302</f>
        <v>Term loan - A</v>
      </c>
      <c r="E1121" s="347">
        <f t="shared" ref="E1121:I1130" si="1306">IFERROR(E1108/$T1302,0)</f>
        <v>0</v>
      </c>
      <c r="F1121" s="347">
        <f t="shared" si="1306"/>
        <v>0</v>
      </c>
      <c r="G1121" s="347">
        <f t="shared" si="1306"/>
        <v>0</v>
      </c>
      <c r="H1121" s="347">
        <f t="shared" si="1306"/>
        <v>0</v>
      </c>
      <c r="I1121" s="347">
        <f t="shared" si="1306"/>
        <v>0</v>
      </c>
      <c r="L1121" s="347">
        <f t="shared" ref="L1121:V1121" si="1307">IFERROR(L1108/$T1302,0)</f>
        <v>0</v>
      </c>
      <c r="M1121" s="347">
        <f t="shared" ca="1" si="1307"/>
        <v>0</v>
      </c>
      <c r="N1121" s="347">
        <f t="shared" ca="1" si="1307"/>
        <v>0</v>
      </c>
      <c r="O1121" s="347">
        <f t="shared" ca="1" si="1307"/>
        <v>0</v>
      </c>
      <c r="P1121" s="347">
        <f t="shared" ca="1" si="1307"/>
        <v>0</v>
      </c>
      <c r="Q1121" s="347">
        <f t="shared" ca="1" si="1307"/>
        <v>0</v>
      </c>
      <c r="R1121" s="347">
        <f t="shared" ca="1" si="1307"/>
        <v>0</v>
      </c>
      <c r="S1121" s="347">
        <f t="shared" ca="1" si="1307"/>
        <v>0</v>
      </c>
      <c r="T1121" s="347">
        <f t="shared" ca="1" si="1307"/>
        <v>0</v>
      </c>
      <c r="U1121" s="347">
        <f t="shared" ca="1" si="1307"/>
        <v>0</v>
      </c>
      <c r="V1121" s="347">
        <f t="shared" ca="1" si="1307"/>
        <v>0</v>
      </c>
    </row>
    <row r="1122" spans="2:22" ht="13.5" customHeight="1" outlineLevel="1">
      <c r="B1122" s="38" t="str">
        <f t="shared" si="1305"/>
        <v>Term loan - B</v>
      </c>
      <c r="E1122" s="347">
        <f t="shared" si="1306"/>
        <v>0</v>
      </c>
      <c r="F1122" s="347">
        <f t="shared" si="1306"/>
        <v>0</v>
      </c>
      <c r="G1122" s="347">
        <f t="shared" si="1306"/>
        <v>0</v>
      </c>
      <c r="H1122" s="347">
        <f t="shared" si="1306"/>
        <v>0</v>
      </c>
      <c r="I1122" s="347">
        <f t="shared" si="1306"/>
        <v>0</v>
      </c>
      <c r="L1122" s="347">
        <f t="shared" ref="L1122:V1122" si="1308">IFERROR(L1109/$T1303,0)</f>
        <v>0</v>
      </c>
      <c r="M1122" s="347">
        <f t="shared" ca="1" si="1308"/>
        <v>0</v>
      </c>
      <c r="N1122" s="347">
        <f t="shared" ca="1" si="1308"/>
        <v>0</v>
      </c>
      <c r="O1122" s="347">
        <f t="shared" ca="1" si="1308"/>
        <v>0</v>
      </c>
      <c r="P1122" s="347">
        <f t="shared" ca="1" si="1308"/>
        <v>0</v>
      </c>
      <c r="Q1122" s="347">
        <f t="shared" ca="1" si="1308"/>
        <v>0</v>
      </c>
      <c r="R1122" s="347">
        <f t="shared" ca="1" si="1308"/>
        <v>0</v>
      </c>
      <c r="S1122" s="347">
        <f t="shared" ca="1" si="1308"/>
        <v>0</v>
      </c>
      <c r="T1122" s="347">
        <f t="shared" ca="1" si="1308"/>
        <v>0</v>
      </c>
      <c r="U1122" s="347">
        <f t="shared" ca="1" si="1308"/>
        <v>0</v>
      </c>
      <c r="V1122" s="347">
        <f t="shared" ca="1" si="1308"/>
        <v>0</v>
      </c>
    </row>
    <row r="1123" spans="2:22" ht="13.5" customHeight="1" outlineLevel="1">
      <c r="B1123" s="38" t="str">
        <f t="shared" si="1305"/>
        <v>Senior note</v>
      </c>
      <c r="E1123" s="347">
        <f t="shared" si="1306"/>
        <v>0</v>
      </c>
      <c r="F1123" s="347">
        <f t="shared" si="1306"/>
        <v>0</v>
      </c>
      <c r="G1123" s="347">
        <f t="shared" si="1306"/>
        <v>0</v>
      </c>
      <c r="H1123" s="347">
        <f t="shared" si="1306"/>
        <v>0</v>
      </c>
      <c r="I1123" s="347">
        <f t="shared" si="1306"/>
        <v>0</v>
      </c>
      <c r="L1123" s="347">
        <f t="shared" ref="L1123:V1123" si="1309">IFERROR(L1110/$T1304,0)</f>
        <v>0</v>
      </c>
      <c r="M1123" s="347">
        <f t="shared" ca="1" si="1309"/>
        <v>0</v>
      </c>
      <c r="N1123" s="347">
        <f t="shared" ca="1" si="1309"/>
        <v>0</v>
      </c>
      <c r="O1123" s="347">
        <f t="shared" ca="1" si="1309"/>
        <v>0</v>
      </c>
      <c r="P1123" s="347">
        <f t="shared" ca="1" si="1309"/>
        <v>0</v>
      </c>
      <c r="Q1123" s="347">
        <f t="shared" ca="1" si="1309"/>
        <v>0</v>
      </c>
      <c r="R1123" s="347">
        <f t="shared" ca="1" si="1309"/>
        <v>0</v>
      </c>
      <c r="S1123" s="347">
        <f t="shared" ca="1" si="1309"/>
        <v>0</v>
      </c>
      <c r="T1123" s="347">
        <f t="shared" ca="1" si="1309"/>
        <v>0</v>
      </c>
      <c r="U1123" s="347">
        <f t="shared" ca="1" si="1309"/>
        <v>0</v>
      </c>
      <c r="V1123" s="347">
        <f t="shared" ca="1" si="1309"/>
        <v>0</v>
      </c>
    </row>
    <row r="1124" spans="2:22" ht="13.5" customHeight="1" outlineLevel="1">
      <c r="B1124" s="38" t="str">
        <f t="shared" si="1305"/>
        <v>Subordinated note</v>
      </c>
      <c r="E1124" s="347">
        <f t="shared" si="1306"/>
        <v>0</v>
      </c>
      <c r="F1124" s="347">
        <f t="shared" si="1306"/>
        <v>0</v>
      </c>
      <c r="G1124" s="347">
        <f t="shared" si="1306"/>
        <v>0</v>
      </c>
      <c r="H1124" s="347">
        <f t="shared" si="1306"/>
        <v>0</v>
      </c>
      <c r="I1124" s="347">
        <f t="shared" si="1306"/>
        <v>0</v>
      </c>
      <c r="L1124" s="347">
        <f t="shared" ref="L1124:V1124" si="1310">IFERROR(L1111/$T1305,0)</f>
        <v>0</v>
      </c>
      <c r="M1124" s="347">
        <f t="shared" ca="1" si="1310"/>
        <v>0</v>
      </c>
      <c r="N1124" s="347">
        <f t="shared" ca="1" si="1310"/>
        <v>0</v>
      </c>
      <c r="O1124" s="347">
        <f t="shared" ca="1" si="1310"/>
        <v>0</v>
      </c>
      <c r="P1124" s="347">
        <f t="shared" ca="1" si="1310"/>
        <v>0</v>
      </c>
      <c r="Q1124" s="347">
        <f t="shared" ca="1" si="1310"/>
        <v>0</v>
      </c>
      <c r="R1124" s="347">
        <f t="shared" ca="1" si="1310"/>
        <v>0</v>
      </c>
      <c r="S1124" s="347">
        <f t="shared" ca="1" si="1310"/>
        <v>0</v>
      </c>
      <c r="T1124" s="347">
        <f t="shared" ca="1" si="1310"/>
        <v>0</v>
      </c>
      <c r="U1124" s="347">
        <f t="shared" ca="1" si="1310"/>
        <v>0</v>
      </c>
      <c r="V1124" s="347">
        <f t="shared" ca="1" si="1310"/>
        <v>0</v>
      </c>
    </row>
    <row r="1125" spans="2:22" ht="13.5" customHeight="1" outlineLevel="1">
      <c r="B1125" s="38" t="str">
        <f t="shared" si="1305"/>
        <v>Mezzanine</v>
      </c>
      <c r="E1125" s="347">
        <f t="shared" si="1306"/>
        <v>0</v>
      </c>
      <c r="F1125" s="347">
        <f t="shared" si="1306"/>
        <v>0</v>
      </c>
      <c r="G1125" s="347">
        <f t="shared" si="1306"/>
        <v>0</v>
      </c>
      <c r="H1125" s="347">
        <f t="shared" si="1306"/>
        <v>0</v>
      </c>
      <c r="I1125" s="347">
        <f t="shared" si="1306"/>
        <v>0</v>
      </c>
      <c r="L1125" s="347">
        <f t="shared" ref="L1125:V1125" si="1311">IFERROR(L1112/$T1306,0)</f>
        <v>0</v>
      </c>
      <c r="M1125" s="347">
        <f t="shared" ca="1" si="1311"/>
        <v>0</v>
      </c>
      <c r="N1125" s="347">
        <f t="shared" ca="1" si="1311"/>
        <v>0</v>
      </c>
      <c r="O1125" s="347">
        <f t="shared" ca="1" si="1311"/>
        <v>0</v>
      </c>
      <c r="P1125" s="347">
        <f t="shared" ca="1" si="1311"/>
        <v>0</v>
      </c>
      <c r="Q1125" s="347">
        <f t="shared" ca="1" si="1311"/>
        <v>0</v>
      </c>
      <c r="R1125" s="347">
        <f t="shared" ca="1" si="1311"/>
        <v>0</v>
      </c>
      <c r="S1125" s="347">
        <f t="shared" ca="1" si="1311"/>
        <v>0</v>
      </c>
      <c r="T1125" s="347">
        <f t="shared" ca="1" si="1311"/>
        <v>0</v>
      </c>
      <c r="U1125" s="347">
        <f t="shared" ca="1" si="1311"/>
        <v>0</v>
      </c>
      <c r="V1125" s="347">
        <f t="shared" ca="1" si="1311"/>
        <v>0</v>
      </c>
    </row>
    <row r="1126" spans="2:22" ht="13.5" customHeight="1" outlineLevel="1">
      <c r="B1126" s="38" t="str">
        <f t="shared" si="1305"/>
        <v>Seller note</v>
      </c>
      <c r="E1126" s="347">
        <f t="shared" si="1306"/>
        <v>0</v>
      </c>
      <c r="F1126" s="347">
        <f t="shared" si="1306"/>
        <v>0</v>
      </c>
      <c r="G1126" s="347">
        <f t="shared" si="1306"/>
        <v>0</v>
      </c>
      <c r="H1126" s="347">
        <f t="shared" si="1306"/>
        <v>0</v>
      </c>
      <c r="I1126" s="347">
        <f t="shared" si="1306"/>
        <v>0</v>
      </c>
      <c r="L1126" s="347">
        <f t="shared" ref="L1126:V1126" si="1312">IFERROR(L1113/$T1307,0)</f>
        <v>0</v>
      </c>
      <c r="M1126" s="347">
        <f t="shared" ca="1" si="1312"/>
        <v>0</v>
      </c>
      <c r="N1126" s="347">
        <f t="shared" ca="1" si="1312"/>
        <v>0</v>
      </c>
      <c r="O1126" s="347">
        <f t="shared" ca="1" si="1312"/>
        <v>0</v>
      </c>
      <c r="P1126" s="347">
        <f t="shared" ca="1" si="1312"/>
        <v>0</v>
      </c>
      <c r="Q1126" s="347">
        <f t="shared" ca="1" si="1312"/>
        <v>0</v>
      </c>
      <c r="R1126" s="347">
        <f t="shared" ca="1" si="1312"/>
        <v>0</v>
      </c>
      <c r="S1126" s="347">
        <f t="shared" ca="1" si="1312"/>
        <v>0</v>
      </c>
      <c r="T1126" s="347">
        <f t="shared" ca="1" si="1312"/>
        <v>0</v>
      </c>
      <c r="U1126" s="347">
        <f t="shared" ca="1" si="1312"/>
        <v>0</v>
      </c>
      <c r="V1126" s="347">
        <f t="shared" ca="1" si="1312"/>
        <v>0</v>
      </c>
    </row>
    <row r="1127" spans="2:22" ht="13.5" customHeight="1" outlineLevel="1">
      <c r="B1127" s="38" t="str">
        <f t="shared" si="1305"/>
        <v>Convertible bond</v>
      </c>
      <c r="E1127" s="347">
        <f t="shared" si="1306"/>
        <v>0</v>
      </c>
      <c r="F1127" s="347">
        <f t="shared" si="1306"/>
        <v>0</v>
      </c>
      <c r="G1127" s="347">
        <f t="shared" si="1306"/>
        <v>0</v>
      </c>
      <c r="H1127" s="347">
        <f t="shared" si="1306"/>
        <v>0</v>
      </c>
      <c r="I1127" s="347">
        <f t="shared" si="1306"/>
        <v>0</v>
      </c>
      <c r="L1127" s="347">
        <f t="shared" ref="L1127:V1127" si="1313">IFERROR(L1114/$T1308,0)</f>
        <v>0</v>
      </c>
      <c r="M1127" s="347">
        <f t="shared" ca="1" si="1313"/>
        <v>0</v>
      </c>
      <c r="N1127" s="347">
        <f t="shared" ca="1" si="1313"/>
        <v>0</v>
      </c>
      <c r="O1127" s="347">
        <f t="shared" ca="1" si="1313"/>
        <v>0</v>
      </c>
      <c r="P1127" s="347">
        <f t="shared" ca="1" si="1313"/>
        <v>0</v>
      </c>
      <c r="Q1127" s="347">
        <f t="shared" ca="1" si="1313"/>
        <v>0</v>
      </c>
      <c r="R1127" s="347">
        <f t="shared" ca="1" si="1313"/>
        <v>0</v>
      </c>
      <c r="S1127" s="347">
        <f t="shared" ca="1" si="1313"/>
        <v>0</v>
      </c>
      <c r="T1127" s="347">
        <f t="shared" ca="1" si="1313"/>
        <v>0</v>
      </c>
      <c r="U1127" s="347">
        <f t="shared" ca="1" si="1313"/>
        <v>0</v>
      </c>
      <c r="V1127" s="347">
        <f t="shared" ca="1" si="1313"/>
        <v>0</v>
      </c>
    </row>
    <row r="1128" spans="2:22" ht="13.5" customHeight="1" outlineLevel="1">
      <c r="B1128" s="38" t="str">
        <f t="shared" si="1305"/>
        <v>[Debt 8]</v>
      </c>
      <c r="E1128" s="347">
        <f t="shared" si="1306"/>
        <v>0</v>
      </c>
      <c r="F1128" s="347">
        <f t="shared" si="1306"/>
        <v>0</v>
      </c>
      <c r="G1128" s="347">
        <f t="shared" si="1306"/>
        <v>0</v>
      </c>
      <c r="H1128" s="347">
        <f t="shared" si="1306"/>
        <v>0</v>
      </c>
      <c r="I1128" s="347">
        <f t="shared" si="1306"/>
        <v>0</v>
      </c>
      <c r="L1128" s="347">
        <f t="shared" ref="L1128:V1128" si="1314">IFERROR(L1115/$T1309,0)</f>
        <v>0</v>
      </c>
      <c r="M1128" s="347">
        <f t="shared" ca="1" si="1314"/>
        <v>0</v>
      </c>
      <c r="N1128" s="347">
        <f t="shared" ca="1" si="1314"/>
        <v>0</v>
      </c>
      <c r="O1128" s="347">
        <f t="shared" ca="1" si="1314"/>
        <v>0</v>
      </c>
      <c r="P1128" s="347">
        <f t="shared" ca="1" si="1314"/>
        <v>0</v>
      </c>
      <c r="Q1128" s="347">
        <f t="shared" ca="1" si="1314"/>
        <v>0</v>
      </c>
      <c r="R1128" s="347">
        <f t="shared" ca="1" si="1314"/>
        <v>0</v>
      </c>
      <c r="S1128" s="347">
        <f t="shared" ca="1" si="1314"/>
        <v>0</v>
      </c>
      <c r="T1128" s="347">
        <f t="shared" ca="1" si="1314"/>
        <v>0</v>
      </c>
      <c r="U1128" s="347">
        <f t="shared" ca="1" si="1314"/>
        <v>0</v>
      </c>
      <c r="V1128" s="347">
        <f t="shared" ca="1" si="1314"/>
        <v>0</v>
      </c>
    </row>
    <row r="1129" spans="2:22" ht="13.5" customHeight="1" outlineLevel="1">
      <c r="B1129" s="38" t="str">
        <f t="shared" si="1305"/>
        <v>Preferred stock - A</v>
      </c>
      <c r="E1129" s="347">
        <f t="shared" si="1306"/>
        <v>0</v>
      </c>
      <c r="F1129" s="347">
        <f t="shared" si="1306"/>
        <v>0</v>
      </c>
      <c r="G1129" s="347">
        <f t="shared" si="1306"/>
        <v>0</v>
      </c>
      <c r="H1129" s="347">
        <f t="shared" si="1306"/>
        <v>0</v>
      </c>
      <c r="I1129" s="347">
        <f t="shared" si="1306"/>
        <v>0</v>
      </c>
      <c r="L1129" s="347">
        <f t="shared" ref="L1129:V1129" si="1315">IFERROR(L1116/$T1310,0)</f>
        <v>0</v>
      </c>
      <c r="M1129" s="347">
        <f t="shared" ca="1" si="1315"/>
        <v>0</v>
      </c>
      <c r="N1129" s="347">
        <f t="shared" ca="1" si="1315"/>
        <v>0</v>
      </c>
      <c r="O1129" s="347">
        <f t="shared" ca="1" si="1315"/>
        <v>0</v>
      </c>
      <c r="P1129" s="347">
        <f t="shared" ca="1" si="1315"/>
        <v>0</v>
      </c>
      <c r="Q1129" s="347">
        <f t="shared" ca="1" si="1315"/>
        <v>0</v>
      </c>
      <c r="R1129" s="347">
        <f t="shared" ca="1" si="1315"/>
        <v>0</v>
      </c>
      <c r="S1129" s="347">
        <f t="shared" ca="1" si="1315"/>
        <v>0</v>
      </c>
      <c r="T1129" s="347">
        <f t="shared" ca="1" si="1315"/>
        <v>0</v>
      </c>
      <c r="U1129" s="347">
        <f t="shared" ca="1" si="1315"/>
        <v>0</v>
      </c>
      <c r="V1129" s="347">
        <f t="shared" ca="1" si="1315"/>
        <v>0</v>
      </c>
    </row>
    <row r="1130" spans="2:22" ht="13.5" customHeight="1" outlineLevel="1">
      <c r="B1130" s="38" t="str">
        <f t="shared" si="1305"/>
        <v>Preferred stock - B</v>
      </c>
      <c r="E1130" s="347">
        <f t="shared" si="1306"/>
        <v>0</v>
      </c>
      <c r="F1130" s="347">
        <f t="shared" si="1306"/>
        <v>0</v>
      </c>
      <c r="G1130" s="347">
        <f t="shared" si="1306"/>
        <v>0</v>
      </c>
      <c r="H1130" s="347">
        <f t="shared" si="1306"/>
        <v>0</v>
      </c>
      <c r="I1130" s="347">
        <f t="shared" si="1306"/>
        <v>0</v>
      </c>
      <c r="L1130" s="347">
        <f t="shared" ref="L1130:V1130" si="1316">IFERROR(L1117/$T1311,0)</f>
        <v>0</v>
      </c>
      <c r="M1130" s="347">
        <f t="shared" ca="1" si="1316"/>
        <v>0</v>
      </c>
      <c r="N1130" s="347">
        <f t="shared" ca="1" si="1316"/>
        <v>0</v>
      </c>
      <c r="O1130" s="347">
        <f t="shared" ca="1" si="1316"/>
        <v>0</v>
      </c>
      <c r="P1130" s="347">
        <f t="shared" ca="1" si="1316"/>
        <v>0</v>
      </c>
      <c r="Q1130" s="347">
        <f t="shared" ca="1" si="1316"/>
        <v>0</v>
      </c>
      <c r="R1130" s="347">
        <f t="shared" ca="1" si="1316"/>
        <v>0</v>
      </c>
      <c r="S1130" s="347">
        <f t="shared" ca="1" si="1316"/>
        <v>0</v>
      </c>
      <c r="T1130" s="347">
        <f t="shared" ca="1" si="1316"/>
        <v>0</v>
      </c>
      <c r="U1130" s="347">
        <f t="shared" ca="1" si="1316"/>
        <v>0</v>
      </c>
      <c r="V1130" s="347">
        <f t="shared" ca="1" si="1316"/>
        <v>0</v>
      </c>
    </row>
    <row r="1131" spans="2:22" ht="13.5" customHeight="1" outlineLevel="1"/>
    <row r="1132" spans="2:22" ht="13.5" customHeight="1" outlineLevel="1">
      <c r="B1132" s="346" t="s">
        <v>532</v>
      </c>
    </row>
    <row r="1133" spans="2:22" ht="13.5" customHeight="1" outlineLevel="1">
      <c r="B1133" s="38" t="str">
        <f>B1300</f>
        <v>Legacy debt</v>
      </c>
      <c r="E1133" s="340">
        <f ca="1">(E$184+E878*(1-E$235*(1-$H1300)))/(E$1162+E1120)</f>
        <v>0.31518803850694965</v>
      </c>
      <c r="F1133" s="340">
        <f ca="1">(F$184+F878*(1-F$235*(1-$H1300)))/(F$1162+F1120)</f>
        <v>0.32564301074340191</v>
      </c>
      <c r="G1133" s="340">
        <f ca="1">(G$184+G878*(1-G$235*(1-$H1300)))/(G$1162+G1120)</f>
        <v>0.33161811185795975</v>
      </c>
      <c r="H1133" s="340">
        <f ca="1">(H$184+H878*(1-H$235*(1-$H1300)))/(H$1162+H1120)</f>
        <v>0.3375932129725176</v>
      </c>
      <c r="I1133" s="340">
        <f ca="1">(I$184+I878*(1-I$235*(1-$H1300)))/(I$1162+I1120)</f>
        <v>0.34506208936571492</v>
      </c>
      <c r="L1133" s="348">
        <f ca="1">I1133</f>
        <v>0.34506208936571492</v>
      </c>
      <c r="M1133" s="340">
        <f t="shared" ref="M1133:V1133" ca="1" si="1317">(M$184+M878*(1-M$235*(1-$H1300)))/(M$1162+M1120)</f>
        <v>0.52733465982269145</v>
      </c>
      <c r="N1133" s="340">
        <f t="shared" ca="1" si="1317"/>
        <v>1.3522109313052799</v>
      </c>
      <c r="O1133" s="340">
        <f t="shared" ca="1" si="1317"/>
        <v>1.4393754989971554</v>
      </c>
      <c r="P1133" s="340">
        <f t="shared" ca="1" si="1317"/>
        <v>1.4601400933698303</v>
      </c>
      <c r="Q1133" s="340">
        <f t="shared" ca="1" si="1317"/>
        <v>1.5166017403763066</v>
      </c>
      <c r="R1133" s="340">
        <f t="shared" ca="1" si="1317"/>
        <v>1.8937534217755101</v>
      </c>
      <c r="S1133" s="340">
        <f t="shared" ca="1" si="1317"/>
        <v>2.1301186319015306</v>
      </c>
      <c r="T1133" s="340">
        <f t="shared" ca="1" si="1317"/>
        <v>2.2030118873808773</v>
      </c>
      <c r="U1133" s="340">
        <f t="shared" ca="1" si="1317"/>
        <v>2.4641769306414618</v>
      </c>
      <c r="V1133" s="340">
        <f t="shared" ca="1" si="1317"/>
        <v>2.5016008695730392</v>
      </c>
    </row>
    <row r="1134" spans="2:22" ht="13.5" customHeight="1" outlineLevel="1">
      <c r="B1134" s="38" t="str">
        <f t="shared" ref="B1134:B1143" si="1318">B1302</f>
        <v>Term loan - A</v>
      </c>
      <c r="E1134" s="340">
        <f t="shared" ref="E1134:I1143" ca="1" si="1319">(E$184+E880*(1-E$235*(1-$H1302)))/(E$1162+E1121)</f>
        <v>0.24010652310864219</v>
      </c>
      <c r="F1134" s="340">
        <f t="shared" ca="1" si="1319"/>
        <v>0.25325072107124452</v>
      </c>
      <c r="G1134" s="340">
        <f t="shared" ca="1" si="1319"/>
        <v>0.26069585021619612</v>
      </c>
      <c r="H1134" s="340">
        <f t="shared" ca="1" si="1319"/>
        <v>0.26814097936114772</v>
      </c>
      <c r="I1134" s="340">
        <f t="shared" ca="1" si="1319"/>
        <v>0.27744739079233727</v>
      </c>
      <c r="L1134" s="348">
        <f t="shared" ref="L1134:L1145" ca="1" si="1320">I1134</f>
        <v>0.27744739079233727</v>
      </c>
      <c r="M1134" s="340">
        <f t="shared" ref="M1134:V1134" ca="1" si="1321">(M$184+M880*(1-M$235*(1-$H1302)))/(M$1162+M1121)</f>
        <v>0.58407537318017533</v>
      </c>
      <c r="N1134" s="340">
        <f t="shared" ca="1" si="1321"/>
        <v>1.3522109313052799</v>
      </c>
      <c r="O1134" s="340">
        <f t="shared" ca="1" si="1321"/>
        <v>1.4393754989971554</v>
      </c>
      <c r="P1134" s="340">
        <f t="shared" ca="1" si="1321"/>
        <v>1.4601400933698303</v>
      </c>
      <c r="Q1134" s="340">
        <f t="shared" ca="1" si="1321"/>
        <v>1.5166017403763066</v>
      </c>
      <c r="R1134" s="340">
        <f t="shared" ca="1" si="1321"/>
        <v>1.8937534217755101</v>
      </c>
      <c r="S1134" s="340">
        <f t="shared" ca="1" si="1321"/>
        <v>2.1301186319015306</v>
      </c>
      <c r="T1134" s="340">
        <f t="shared" ca="1" si="1321"/>
        <v>2.2030118873808773</v>
      </c>
      <c r="U1134" s="340">
        <f t="shared" ca="1" si="1321"/>
        <v>2.4641769306414618</v>
      </c>
      <c r="V1134" s="340">
        <f t="shared" ca="1" si="1321"/>
        <v>2.5016008695730392</v>
      </c>
    </row>
    <row r="1135" spans="2:22" ht="13.5" customHeight="1" outlineLevel="1">
      <c r="B1135" s="38" t="str">
        <f t="shared" si="1318"/>
        <v>Term loan - B</v>
      </c>
      <c r="E1135" s="340">
        <f t="shared" ca="1" si="1319"/>
        <v>0.24010652310864219</v>
      </c>
      <c r="F1135" s="340">
        <f t="shared" ca="1" si="1319"/>
        <v>0.25325072107124452</v>
      </c>
      <c r="G1135" s="340">
        <f t="shared" ca="1" si="1319"/>
        <v>0.26069585021619612</v>
      </c>
      <c r="H1135" s="340">
        <f t="shared" ca="1" si="1319"/>
        <v>0.26814097936114772</v>
      </c>
      <c r="I1135" s="340">
        <f t="shared" ca="1" si="1319"/>
        <v>0.27744739079233727</v>
      </c>
      <c r="L1135" s="348">
        <f t="shared" ca="1" si="1320"/>
        <v>0.27744739079233727</v>
      </c>
      <c r="M1135" s="340">
        <f t="shared" ref="M1135:V1135" ca="1" si="1322">(M$184+M881*(1-M$235*(1-$H1303)))/(M$1162+M1122)</f>
        <v>0.52733465982269145</v>
      </c>
      <c r="N1135" s="340">
        <f t="shared" ca="1" si="1322"/>
        <v>1.3522109313052799</v>
      </c>
      <c r="O1135" s="340">
        <f t="shared" ca="1" si="1322"/>
        <v>1.4393754989971554</v>
      </c>
      <c r="P1135" s="340">
        <f t="shared" ca="1" si="1322"/>
        <v>1.4601400933698303</v>
      </c>
      <c r="Q1135" s="340">
        <f t="shared" ca="1" si="1322"/>
        <v>1.5166017403763066</v>
      </c>
      <c r="R1135" s="340">
        <f t="shared" ca="1" si="1322"/>
        <v>1.8937534217755101</v>
      </c>
      <c r="S1135" s="340">
        <f t="shared" ca="1" si="1322"/>
        <v>2.1301186319015306</v>
      </c>
      <c r="T1135" s="340">
        <f t="shared" ca="1" si="1322"/>
        <v>2.2030118873808773</v>
      </c>
      <c r="U1135" s="340">
        <f t="shared" ca="1" si="1322"/>
        <v>2.4641769306414618</v>
      </c>
      <c r="V1135" s="340">
        <f t="shared" ca="1" si="1322"/>
        <v>2.5016008695730392</v>
      </c>
    </row>
    <row r="1136" spans="2:22" ht="13.5" customHeight="1" outlineLevel="1">
      <c r="B1136" s="38" t="str">
        <f t="shared" si="1318"/>
        <v>Senior note</v>
      </c>
      <c r="E1136" s="340">
        <f t="shared" ca="1" si="1319"/>
        <v>0.24010652310864219</v>
      </c>
      <c r="F1136" s="340">
        <f t="shared" ca="1" si="1319"/>
        <v>0.25325072107124452</v>
      </c>
      <c r="G1136" s="340">
        <f t="shared" ca="1" si="1319"/>
        <v>0.26069585021619612</v>
      </c>
      <c r="H1136" s="340">
        <f t="shared" ca="1" si="1319"/>
        <v>0.26814097936114772</v>
      </c>
      <c r="I1136" s="340">
        <f t="shared" ca="1" si="1319"/>
        <v>0.27744739079233727</v>
      </c>
      <c r="L1136" s="348">
        <f t="shared" ca="1" si="1320"/>
        <v>0.27744739079233727</v>
      </c>
      <c r="M1136" s="340">
        <f t="shared" ref="M1136:V1136" ca="1" si="1323">(M$184+M882*(1-M$235*(1-$H1304)))/(M$1162+M1123)</f>
        <v>0.68518927320559908</v>
      </c>
      <c r="N1136" s="340">
        <f t="shared" ca="1" si="1323"/>
        <v>1.5713894885424995</v>
      </c>
      <c r="O1136" s="340">
        <f t="shared" ca="1" si="1323"/>
        <v>1.669031225208099</v>
      </c>
      <c r="P1136" s="340">
        <f t="shared" ca="1" si="1323"/>
        <v>1.6982042386355196</v>
      </c>
      <c r="Q1136" s="340">
        <f t="shared" ca="1" si="1323"/>
        <v>1.7441877172721758</v>
      </c>
      <c r="R1136" s="340">
        <f t="shared" ca="1" si="1323"/>
        <v>2.1202465590402668</v>
      </c>
      <c r="S1136" s="340">
        <f t="shared" ca="1" si="1323"/>
        <v>2.3595909689288352</v>
      </c>
      <c r="T1136" s="340">
        <f t="shared" ca="1" si="1323"/>
        <v>2.4351186325175669</v>
      </c>
      <c r="U1136" s="340">
        <f t="shared" ca="1" si="1323"/>
        <v>2.4641769306414618</v>
      </c>
      <c r="V1136" s="340">
        <f t="shared" ca="1" si="1323"/>
        <v>2.5016008695730392</v>
      </c>
    </row>
    <row r="1137" spans="2:22" ht="13.5" customHeight="1" outlineLevel="1">
      <c r="B1137" s="38" t="str">
        <f t="shared" si="1318"/>
        <v>Subordinated note</v>
      </c>
      <c r="E1137" s="340">
        <f t="shared" ca="1" si="1319"/>
        <v>0.24010652310864219</v>
      </c>
      <c r="F1137" s="340">
        <f t="shared" ca="1" si="1319"/>
        <v>0.25325072107124452</v>
      </c>
      <c r="G1137" s="340">
        <f t="shared" ca="1" si="1319"/>
        <v>0.26069585021619612</v>
      </c>
      <c r="H1137" s="340">
        <f t="shared" ca="1" si="1319"/>
        <v>0.26814097936114772</v>
      </c>
      <c r="I1137" s="340">
        <f t="shared" ca="1" si="1319"/>
        <v>0.27744739079233727</v>
      </c>
      <c r="L1137" s="348">
        <f t="shared" ca="1" si="1320"/>
        <v>0.27744739079233727</v>
      </c>
      <c r="M1137" s="340">
        <f t="shared" ref="M1137:V1137" ca="1" si="1324">(M$184+M883*(1-M$235*(1-$H1305)))/(M$1162+M1124)</f>
        <v>0.61353257311345288</v>
      </c>
      <c r="N1137" s="340">
        <f t="shared" ca="1" si="1324"/>
        <v>1.4671414823596285</v>
      </c>
      <c r="O1137" s="340">
        <f t="shared" ca="1" si="1324"/>
        <v>1.554306050051504</v>
      </c>
      <c r="P1137" s="340">
        <f t="shared" ca="1" si="1324"/>
        <v>1.5750706444241789</v>
      </c>
      <c r="Q1137" s="340">
        <f t="shared" ca="1" si="1324"/>
        <v>1.6221629530294854</v>
      </c>
      <c r="R1137" s="340">
        <f t="shared" ca="1" si="1324"/>
        <v>1.996191521628299</v>
      </c>
      <c r="S1137" s="340">
        <f t="shared" ca="1" si="1324"/>
        <v>2.1301186319015306</v>
      </c>
      <c r="T1137" s="340">
        <f t="shared" ca="1" si="1324"/>
        <v>2.2030118873808773</v>
      </c>
      <c r="U1137" s="340">
        <f t="shared" ca="1" si="1324"/>
        <v>2.4641769306414618</v>
      </c>
      <c r="V1137" s="340">
        <f t="shared" ca="1" si="1324"/>
        <v>2.5016008695730392</v>
      </c>
    </row>
    <row r="1138" spans="2:22" ht="13.5" customHeight="1" outlineLevel="1">
      <c r="B1138" s="38" t="str">
        <f t="shared" si="1318"/>
        <v>Mezzanine</v>
      </c>
      <c r="E1138" s="340">
        <f t="shared" ca="1" si="1319"/>
        <v>0.24010652310864219</v>
      </c>
      <c r="F1138" s="340">
        <f t="shared" ca="1" si="1319"/>
        <v>0.25325072107124452</v>
      </c>
      <c r="G1138" s="340">
        <f t="shared" ca="1" si="1319"/>
        <v>0.26069585021619612</v>
      </c>
      <c r="H1138" s="340">
        <f t="shared" ca="1" si="1319"/>
        <v>0.26814097936114772</v>
      </c>
      <c r="I1138" s="340">
        <f t="shared" ca="1" si="1319"/>
        <v>0.27744739079233727</v>
      </c>
      <c r="L1138" s="348">
        <f t="shared" ca="1" si="1320"/>
        <v>0.27744739079233727</v>
      </c>
      <c r="M1138" s="340">
        <f t="shared" ref="M1138:V1138" ca="1" si="1325">(M$184+M884*(1-M$235*(1-$H1306)))/(M$1162+M1125)</f>
        <v>0.52733465982269145</v>
      </c>
      <c r="N1138" s="340">
        <f t="shared" ca="1" si="1325"/>
        <v>1.3522109313052799</v>
      </c>
      <c r="O1138" s="340">
        <f t="shared" ca="1" si="1325"/>
        <v>1.4393754989971554</v>
      </c>
      <c r="P1138" s="340">
        <f t="shared" ca="1" si="1325"/>
        <v>1.4601400933698303</v>
      </c>
      <c r="Q1138" s="340">
        <f t="shared" ca="1" si="1325"/>
        <v>1.5166017403763066</v>
      </c>
      <c r="R1138" s="340">
        <f t="shared" ca="1" si="1325"/>
        <v>1.8937534217755101</v>
      </c>
      <c r="S1138" s="340">
        <f t="shared" ca="1" si="1325"/>
        <v>2.1301186319015306</v>
      </c>
      <c r="T1138" s="340">
        <f t="shared" ca="1" si="1325"/>
        <v>2.2030118873808773</v>
      </c>
      <c r="U1138" s="340">
        <f t="shared" ca="1" si="1325"/>
        <v>2.4641769306414618</v>
      </c>
      <c r="V1138" s="340">
        <f t="shared" ca="1" si="1325"/>
        <v>2.5016008695730392</v>
      </c>
    </row>
    <row r="1139" spans="2:22" ht="13.5" customHeight="1" outlineLevel="1">
      <c r="B1139" s="38" t="str">
        <f t="shared" si="1318"/>
        <v>Seller note</v>
      </c>
      <c r="E1139" s="340">
        <f t="shared" ca="1" si="1319"/>
        <v>0.24010652310864219</v>
      </c>
      <c r="F1139" s="340">
        <f t="shared" ca="1" si="1319"/>
        <v>0.25325072107124452</v>
      </c>
      <c r="G1139" s="340">
        <f t="shared" ca="1" si="1319"/>
        <v>0.26069585021619612</v>
      </c>
      <c r="H1139" s="340">
        <f t="shared" ca="1" si="1319"/>
        <v>0.26814097936114772</v>
      </c>
      <c r="I1139" s="340">
        <f t="shared" ca="1" si="1319"/>
        <v>0.27744739079233727</v>
      </c>
      <c r="L1139" s="348">
        <f t="shared" ca="1" si="1320"/>
        <v>0.27744739079233727</v>
      </c>
      <c r="M1139" s="340">
        <f t="shared" ref="M1139:V1139" ca="1" si="1326">(M$184+M885*(1-M$235*(1-$H1307)))/(M$1162+M1126)</f>
        <v>0.52733465982269145</v>
      </c>
      <c r="N1139" s="340">
        <f t="shared" ca="1" si="1326"/>
        <v>1.3522109313052799</v>
      </c>
      <c r="O1139" s="340">
        <f t="shared" ca="1" si="1326"/>
        <v>1.4393754989971554</v>
      </c>
      <c r="P1139" s="340">
        <f t="shared" ca="1" si="1326"/>
        <v>1.4601400933698303</v>
      </c>
      <c r="Q1139" s="340">
        <f t="shared" ca="1" si="1326"/>
        <v>1.5166017403763066</v>
      </c>
      <c r="R1139" s="340">
        <f t="shared" ca="1" si="1326"/>
        <v>1.8937534217755101</v>
      </c>
      <c r="S1139" s="340">
        <f t="shared" ca="1" si="1326"/>
        <v>2.1301186319015306</v>
      </c>
      <c r="T1139" s="340">
        <f t="shared" ca="1" si="1326"/>
        <v>2.2030118873808773</v>
      </c>
      <c r="U1139" s="340">
        <f t="shared" ca="1" si="1326"/>
        <v>2.4641769306414618</v>
      </c>
      <c r="V1139" s="340">
        <f t="shared" ca="1" si="1326"/>
        <v>2.5016008695730392</v>
      </c>
    </row>
    <row r="1140" spans="2:22" ht="13.5" customHeight="1" outlineLevel="1">
      <c r="B1140" s="38" t="str">
        <f t="shared" si="1318"/>
        <v>Convertible bond</v>
      </c>
      <c r="E1140" s="340">
        <f t="shared" ca="1" si="1319"/>
        <v>0.24010652310864219</v>
      </c>
      <c r="F1140" s="340">
        <f t="shared" ca="1" si="1319"/>
        <v>0.25325072107124452</v>
      </c>
      <c r="G1140" s="340">
        <f t="shared" ca="1" si="1319"/>
        <v>0.26069585021619612</v>
      </c>
      <c r="H1140" s="340">
        <f t="shared" ca="1" si="1319"/>
        <v>0.26814097936114772</v>
      </c>
      <c r="I1140" s="340">
        <f t="shared" ca="1" si="1319"/>
        <v>0.27744739079233727</v>
      </c>
      <c r="L1140" s="348">
        <f t="shared" ca="1" si="1320"/>
        <v>0.27744739079233727</v>
      </c>
      <c r="M1140" s="340">
        <f t="shared" ref="M1140:V1140" ca="1" si="1327">(M$184+M886*(1-M$235*(1-$H1308)))/(M$1162+M1127)</f>
        <v>0.52733465982269145</v>
      </c>
      <c r="N1140" s="340">
        <f t="shared" ca="1" si="1327"/>
        <v>1.3522109313052799</v>
      </c>
      <c r="O1140" s="340">
        <f t="shared" ca="1" si="1327"/>
        <v>1.4393754989971554</v>
      </c>
      <c r="P1140" s="340">
        <f t="shared" ca="1" si="1327"/>
        <v>1.4601400933698303</v>
      </c>
      <c r="Q1140" s="340">
        <f t="shared" ca="1" si="1327"/>
        <v>1.5166017403763066</v>
      </c>
      <c r="R1140" s="340">
        <f t="shared" ca="1" si="1327"/>
        <v>1.8937534217755101</v>
      </c>
      <c r="S1140" s="340">
        <f t="shared" ca="1" si="1327"/>
        <v>2.1301186319015306</v>
      </c>
      <c r="T1140" s="340">
        <f t="shared" ca="1" si="1327"/>
        <v>2.2030118873808773</v>
      </c>
      <c r="U1140" s="340">
        <f t="shared" ca="1" si="1327"/>
        <v>2.4641769306414618</v>
      </c>
      <c r="V1140" s="340">
        <f t="shared" ca="1" si="1327"/>
        <v>2.5016008695730392</v>
      </c>
    </row>
    <row r="1141" spans="2:22" ht="13.5" customHeight="1" outlineLevel="1">
      <c r="B1141" s="38" t="str">
        <f t="shared" si="1318"/>
        <v>[Debt 8]</v>
      </c>
      <c r="E1141" s="340">
        <f t="shared" ca="1" si="1319"/>
        <v>0.24010652310864219</v>
      </c>
      <c r="F1141" s="340">
        <f t="shared" ca="1" si="1319"/>
        <v>0.25325072107124452</v>
      </c>
      <c r="G1141" s="340">
        <f t="shared" ca="1" si="1319"/>
        <v>0.26069585021619612</v>
      </c>
      <c r="H1141" s="340">
        <f t="shared" ca="1" si="1319"/>
        <v>0.26814097936114772</v>
      </c>
      <c r="I1141" s="340">
        <f t="shared" ca="1" si="1319"/>
        <v>0.27744739079233727</v>
      </c>
      <c r="L1141" s="348">
        <f t="shared" ca="1" si="1320"/>
        <v>0.27744739079233727</v>
      </c>
      <c r="M1141" s="340">
        <f t="shared" ref="M1141:V1141" ca="1" si="1328">(M$184+M887*(1-M$235*(1-$H1309)))/(M$1162+M1128)</f>
        <v>0.52733465982269145</v>
      </c>
      <c r="N1141" s="340">
        <f t="shared" ca="1" si="1328"/>
        <v>1.3522109313052799</v>
      </c>
      <c r="O1141" s="340">
        <f t="shared" ca="1" si="1328"/>
        <v>1.4393754989971554</v>
      </c>
      <c r="P1141" s="340">
        <f t="shared" ca="1" si="1328"/>
        <v>1.4601400933698303</v>
      </c>
      <c r="Q1141" s="340">
        <f t="shared" ca="1" si="1328"/>
        <v>1.5166017403763066</v>
      </c>
      <c r="R1141" s="340">
        <f t="shared" ca="1" si="1328"/>
        <v>1.8937534217755101</v>
      </c>
      <c r="S1141" s="340">
        <f t="shared" ca="1" si="1328"/>
        <v>2.1301186319015306</v>
      </c>
      <c r="T1141" s="340">
        <f t="shared" ca="1" si="1328"/>
        <v>2.2030118873808773</v>
      </c>
      <c r="U1141" s="340">
        <f t="shared" ca="1" si="1328"/>
        <v>2.4641769306414618</v>
      </c>
      <c r="V1141" s="340">
        <f t="shared" ca="1" si="1328"/>
        <v>2.5016008695730392</v>
      </c>
    </row>
    <row r="1142" spans="2:22" ht="13.5" customHeight="1" outlineLevel="1">
      <c r="B1142" s="38" t="str">
        <f t="shared" si="1318"/>
        <v>Preferred stock - A</v>
      </c>
      <c r="E1142" s="340">
        <f t="shared" ca="1" si="1319"/>
        <v>0.24010652310864219</v>
      </c>
      <c r="F1142" s="340">
        <f t="shared" ca="1" si="1319"/>
        <v>0.25325072107124452</v>
      </c>
      <c r="G1142" s="340">
        <f t="shared" ca="1" si="1319"/>
        <v>0.26069585021619612</v>
      </c>
      <c r="H1142" s="340">
        <f t="shared" ca="1" si="1319"/>
        <v>0.26814097936114772</v>
      </c>
      <c r="I1142" s="340">
        <f t="shared" ca="1" si="1319"/>
        <v>0.27744739079233727</v>
      </c>
      <c r="L1142" s="348">
        <f t="shared" ca="1" si="1320"/>
        <v>0.27744739079233727</v>
      </c>
      <c r="M1142" s="340">
        <f t="shared" ref="M1142:V1142" ca="1" si="1329">(M$184+M888*(1-M$235*(1-$H1310)))/(M$1162+M1129)</f>
        <v>0.55789325841696158</v>
      </c>
      <c r="N1142" s="340">
        <f t="shared" ca="1" si="1329"/>
        <v>1.3966227612622857</v>
      </c>
      <c r="O1142" s="340">
        <f t="shared" ca="1" si="1329"/>
        <v>1.489116748549002</v>
      </c>
      <c r="P1142" s="340">
        <f t="shared" ca="1" si="1329"/>
        <v>1.5158502928678985</v>
      </c>
      <c r="Q1142" s="340">
        <f t="shared" ca="1" si="1329"/>
        <v>1.5711003591994801</v>
      </c>
      <c r="R1142" s="340">
        <f t="shared" ca="1" si="1329"/>
        <v>1.947291078378738</v>
      </c>
      <c r="S1142" s="340">
        <f t="shared" ca="1" si="1329"/>
        <v>2.1836562885047583</v>
      </c>
      <c r="T1142" s="340">
        <f t="shared" ca="1" si="1329"/>
        <v>2.2565495439841055</v>
      </c>
      <c r="U1142" s="340">
        <f t="shared" ca="1" si="1329"/>
        <v>2.5177145872446896</v>
      </c>
      <c r="V1142" s="340">
        <f t="shared" ca="1" si="1329"/>
        <v>2.5551385261762674</v>
      </c>
    </row>
    <row r="1143" spans="2:22" ht="13.5" customHeight="1" outlineLevel="1">
      <c r="B1143" s="38" t="str">
        <f t="shared" si="1318"/>
        <v>Preferred stock - B</v>
      </c>
      <c r="E1143" s="340">
        <f t="shared" ca="1" si="1319"/>
        <v>0.24010652310864219</v>
      </c>
      <c r="F1143" s="340">
        <f t="shared" ca="1" si="1319"/>
        <v>0.25325072107124452</v>
      </c>
      <c r="G1143" s="340">
        <f t="shared" ca="1" si="1319"/>
        <v>0.26069585021619612</v>
      </c>
      <c r="H1143" s="340">
        <f t="shared" ca="1" si="1319"/>
        <v>0.26814097936114772</v>
      </c>
      <c r="I1143" s="340">
        <f t="shared" ca="1" si="1319"/>
        <v>0.27744739079233727</v>
      </c>
      <c r="L1143" s="348">
        <f t="shared" ca="1" si="1320"/>
        <v>0.27744739079233727</v>
      </c>
      <c r="M1143" s="340">
        <f t="shared" ref="M1143:V1143" ca="1" si="1330">(M$184+M889*(1-M$235*(1-$H1311)))/(M$1162+M1130)</f>
        <v>0.52733465982269145</v>
      </c>
      <c r="N1143" s="340">
        <f t="shared" ca="1" si="1330"/>
        <v>1.3522109313052799</v>
      </c>
      <c r="O1143" s="340">
        <f t="shared" ca="1" si="1330"/>
        <v>1.4393754989971554</v>
      </c>
      <c r="P1143" s="340">
        <f t="shared" ca="1" si="1330"/>
        <v>1.4601400933698303</v>
      </c>
      <c r="Q1143" s="340">
        <f t="shared" ca="1" si="1330"/>
        <v>1.5166017403763066</v>
      </c>
      <c r="R1143" s="340">
        <f t="shared" ca="1" si="1330"/>
        <v>1.8937534217755101</v>
      </c>
      <c r="S1143" s="340">
        <f t="shared" ca="1" si="1330"/>
        <v>2.1301186319015306</v>
      </c>
      <c r="T1143" s="340">
        <f t="shared" ca="1" si="1330"/>
        <v>2.2030118873808773</v>
      </c>
      <c r="U1143" s="340">
        <f t="shared" ca="1" si="1330"/>
        <v>2.4641769306414618</v>
      </c>
      <c r="V1143" s="340">
        <f t="shared" ca="1" si="1330"/>
        <v>2.5016008695730392</v>
      </c>
    </row>
    <row r="1144" spans="2:22" ht="13.5" customHeight="1" outlineLevel="1">
      <c r="L1144" s="255"/>
    </row>
    <row r="1145" spans="2:22" ht="13.5" customHeight="1" outlineLevel="1">
      <c r="B1145" s="345" t="s">
        <v>533</v>
      </c>
      <c r="E1145" s="340">
        <f ca="1">E184/E1162</f>
        <v>0.24010652310864219</v>
      </c>
      <c r="F1145" s="340">
        <f ca="1">F184/F1162</f>
        <v>0.25325072107124452</v>
      </c>
      <c r="G1145" s="340">
        <f ca="1">G184/G1162</f>
        <v>0.26069585021619612</v>
      </c>
      <c r="H1145" s="340">
        <f ca="1">H184/H1162</f>
        <v>0.26814097936114772</v>
      </c>
      <c r="I1145" s="340">
        <f ca="1">I184/I1162</f>
        <v>0.27744739079233727</v>
      </c>
      <c r="L1145" s="348">
        <f t="shared" ca="1" si="1320"/>
        <v>0.27744739079233727</v>
      </c>
      <c r="M1145" s="340">
        <f t="shared" ref="M1145:V1145" ca="1" si="1331">M184/M1162</f>
        <v>0.52733465982269145</v>
      </c>
      <c r="N1145" s="340">
        <f t="shared" ca="1" si="1331"/>
        <v>1.3522109313052799</v>
      </c>
      <c r="O1145" s="340">
        <f t="shared" ca="1" si="1331"/>
        <v>1.4393754989971554</v>
      </c>
      <c r="P1145" s="340">
        <f t="shared" ca="1" si="1331"/>
        <v>1.4601400933698303</v>
      </c>
      <c r="Q1145" s="340">
        <f t="shared" ca="1" si="1331"/>
        <v>1.5166017403763066</v>
      </c>
      <c r="R1145" s="340">
        <f t="shared" ca="1" si="1331"/>
        <v>1.8937534217755101</v>
      </c>
      <c r="S1145" s="340">
        <f t="shared" ca="1" si="1331"/>
        <v>2.1301186319015306</v>
      </c>
      <c r="T1145" s="340">
        <f t="shared" ca="1" si="1331"/>
        <v>2.2030118873808773</v>
      </c>
      <c r="U1145" s="340">
        <f t="shared" ca="1" si="1331"/>
        <v>2.4641769306414618</v>
      </c>
      <c r="V1145" s="340">
        <f t="shared" ca="1" si="1331"/>
        <v>2.5016008695730392</v>
      </c>
    </row>
    <row r="1146" spans="2:22" ht="13.5" customHeight="1" outlineLevel="1"/>
    <row r="1147" spans="2:22" ht="13.5" customHeight="1" outlineLevel="1">
      <c r="B1147" s="346" t="s">
        <v>534</v>
      </c>
    </row>
    <row r="1148" spans="2:22" ht="13.5" customHeight="1" outlineLevel="1">
      <c r="B1148" s="38" t="str">
        <f>B1300</f>
        <v>Legacy debt</v>
      </c>
      <c r="E1148" s="349">
        <f ca="1">(E1133&lt;E$1145)*1</f>
        <v>0</v>
      </c>
      <c r="F1148" s="349">
        <f t="shared" ref="F1148:I1148" ca="1" si="1332">(F1133&lt;F$1145)*1</f>
        <v>0</v>
      </c>
      <c r="G1148" s="349">
        <f t="shared" ca="1" si="1332"/>
        <v>0</v>
      </c>
      <c r="H1148" s="349">
        <f t="shared" ca="1" si="1332"/>
        <v>0</v>
      </c>
      <c r="I1148" s="349">
        <f t="shared" ca="1" si="1332"/>
        <v>0</v>
      </c>
      <c r="L1148" s="349">
        <f t="shared" ref="L1148" ca="1" si="1333">(L1133&lt;L$1145)*1</f>
        <v>0</v>
      </c>
      <c r="M1148" s="349">
        <f t="shared" ref="M1148:V1148" ca="1" si="1334">(M1133&lt;M$1145)*1</f>
        <v>0</v>
      </c>
      <c r="N1148" s="349">
        <f t="shared" ca="1" si="1334"/>
        <v>0</v>
      </c>
      <c r="O1148" s="349">
        <f t="shared" ca="1" si="1334"/>
        <v>0</v>
      </c>
      <c r="P1148" s="349">
        <f t="shared" ca="1" si="1334"/>
        <v>0</v>
      </c>
      <c r="Q1148" s="349">
        <f t="shared" ca="1" si="1334"/>
        <v>0</v>
      </c>
      <c r="R1148" s="349">
        <f t="shared" ca="1" si="1334"/>
        <v>0</v>
      </c>
      <c r="S1148" s="349">
        <f t="shared" ca="1" si="1334"/>
        <v>0</v>
      </c>
      <c r="T1148" s="349">
        <f t="shared" ca="1" si="1334"/>
        <v>0</v>
      </c>
      <c r="U1148" s="349">
        <f t="shared" ca="1" si="1334"/>
        <v>0</v>
      </c>
      <c r="V1148" s="349">
        <f t="shared" ca="1" si="1334"/>
        <v>0</v>
      </c>
    </row>
    <row r="1149" spans="2:22" ht="13.5" customHeight="1" outlineLevel="1">
      <c r="B1149" s="38" t="str">
        <f t="shared" ref="B1149:B1158" si="1335">B1302</f>
        <v>Term loan - A</v>
      </c>
      <c r="E1149" s="349">
        <f t="shared" ref="E1149:I1158" ca="1" si="1336">(E1134&lt;E$1145)*1</f>
        <v>0</v>
      </c>
      <c r="F1149" s="349">
        <f t="shared" ca="1" si="1336"/>
        <v>0</v>
      </c>
      <c r="G1149" s="349">
        <f t="shared" ca="1" si="1336"/>
        <v>0</v>
      </c>
      <c r="H1149" s="349">
        <f t="shared" ca="1" si="1336"/>
        <v>0</v>
      </c>
      <c r="I1149" s="349">
        <f t="shared" ca="1" si="1336"/>
        <v>0</v>
      </c>
      <c r="L1149" s="349">
        <f t="shared" ref="L1149" ca="1" si="1337">(L1134&lt;L$1145)*1</f>
        <v>0</v>
      </c>
      <c r="M1149" s="349">
        <f t="shared" ref="M1149:V1149" ca="1" si="1338">(M1134&lt;M$1145)*1</f>
        <v>0</v>
      </c>
      <c r="N1149" s="349">
        <f t="shared" ca="1" si="1338"/>
        <v>0</v>
      </c>
      <c r="O1149" s="349">
        <f t="shared" ca="1" si="1338"/>
        <v>0</v>
      </c>
      <c r="P1149" s="349">
        <f t="shared" ca="1" si="1338"/>
        <v>0</v>
      </c>
      <c r="Q1149" s="349">
        <f t="shared" ca="1" si="1338"/>
        <v>0</v>
      </c>
      <c r="R1149" s="349">
        <f t="shared" ca="1" si="1338"/>
        <v>0</v>
      </c>
      <c r="S1149" s="349">
        <f t="shared" ca="1" si="1338"/>
        <v>0</v>
      </c>
      <c r="T1149" s="349">
        <f t="shared" ca="1" si="1338"/>
        <v>0</v>
      </c>
      <c r="U1149" s="349">
        <f t="shared" ca="1" si="1338"/>
        <v>0</v>
      </c>
      <c r="V1149" s="349">
        <f t="shared" ca="1" si="1338"/>
        <v>0</v>
      </c>
    </row>
    <row r="1150" spans="2:22" ht="13.5" customHeight="1" outlineLevel="1">
      <c r="B1150" s="38" t="str">
        <f t="shared" si="1335"/>
        <v>Term loan - B</v>
      </c>
      <c r="E1150" s="349">
        <f t="shared" ca="1" si="1336"/>
        <v>0</v>
      </c>
      <c r="F1150" s="349">
        <f t="shared" ca="1" si="1336"/>
        <v>0</v>
      </c>
      <c r="G1150" s="349">
        <f t="shared" ca="1" si="1336"/>
        <v>0</v>
      </c>
      <c r="H1150" s="349">
        <f t="shared" ca="1" si="1336"/>
        <v>0</v>
      </c>
      <c r="I1150" s="349">
        <f t="shared" ca="1" si="1336"/>
        <v>0</v>
      </c>
      <c r="L1150" s="349">
        <f t="shared" ref="L1150" ca="1" si="1339">(L1135&lt;L$1145)*1</f>
        <v>0</v>
      </c>
      <c r="M1150" s="349">
        <f t="shared" ref="M1150:V1150" ca="1" si="1340">(M1135&lt;M$1145)*1</f>
        <v>0</v>
      </c>
      <c r="N1150" s="349">
        <f t="shared" ca="1" si="1340"/>
        <v>0</v>
      </c>
      <c r="O1150" s="349">
        <f t="shared" ca="1" si="1340"/>
        <v>0</v>
      </c>
      <c r="P1150" s="349">
        <f t="shared" ca="1" si="1340"/>
        <v>0</v>
      </c>
      <c r="Q1150" s="349">
        <f t="shared" ca="1" si="1340"/>
        <v>0</v>
      </c>
      <c r="R1150" s="349">
        <f t="shared" ca="1" si="1340"/>
        <v>0</v>
      </c>
      <c r="S1150" s="349">
        <f t="shared" ca="1" si="1340"/>
        <v>0</v>
      </c>
      <c r="T1150" s="349">
        <f t="shared" ca="1" si="1340"/>
        <v>0</v>
      </c>
      <c r="U1150" s="349">
        <f t="shared" ca="1" si="1340"/>
        <v>0</v>
      </c>
      <c r="V1150" s="349">
        <f t="shared" ca="1" si="1340"/>
        <v>0</v>
      </c>
    </row>
    <row r="1151" spans="2:22" ht="13.5" customHeight="1" outlineLevel="1">
      <c r="B1151" s="38" t="str">
        <f t="shared" si="1335"/>
        <v>Senior note</v>
      </c>
      <c r="E1151" s="349">
        <f t="shared" ca="1" si="1336"/>
        <v>0</v>
      </c>
      <c r="F1151" s="349">
        <f t="shared" ca="1" si="1336"/>
        <v>0</v>
      </c>
      <c r="G1151" s="349">
        <f t="shared" ca="1" si="1336"/>
        <v>0</v>
      </c>
      <c r="H1151" s="349">
        <f t="shared" ca="1" si="1336"/>
        <v>0</v>
      </c>
      <c r="I1151" s="349">
        <f t="shared" ca="1" si="1336"/>
        <v>0</v>
      </c>
      <c r="L1151" s="349">
        <f t="shared" ref="L1151" ca="1" si="1341">(L1136&lt;L$1145)*1</f>
        <v>0</v>
      </c>
      <c r="M1151" s="349">
        <f t="shared" ref="M1151:V1151" ca="1" si="1342">(M1136&lt;M$1145)*1</f>
        <v>0</v>
      </c>
      <c r="N1151" s="349">
        <f t="shared" ca="1" si="1342"/>
        <v>0</v>
      </c>
      <c r="O1151" s="349">
        <f t="shared" ca="1" si="1342"/>
        <v>0</v>
      </c>
      <c r="P1151" s="349">
        <f t="shared" ca="1" si="1342"/>
        <v>0</v>
      </c>
      <c r="Q1151" s="349">
        <f t="shared" ca="1" si="1342"/>
        <v>0</v>
      </c>
      <c r="R1151" s="349">
        <f t="shared" ca="1" si="1342"/>
        <v>0</v>
      </c>
      <c r="S1151" s="349">
        <f t="shared" ca="1" si="1342"/>
        <v>0</v>
      </c>
      <c r="T1151" s="349">
        <f t="shared" ca="1" si="1342"/>
        <v>0</v>
      </c>
      <c r="U1151" s="349">
        <f t="shared" ca="1" si="1342"/>
        <v>0</v>
      </c>
      <c r="V1151" s="349">
        <f t="shared" ca="1" si="1342"/>
        <v>0</v>
      </c>
    </row>
    <row r="1152" spans="2:22" ht="13.5" customHeight="1" outlineLevel="1">
      <c r="B1152" s="38" t="str">
        <f t="shared" si="1335"/>
        <v>Subordinated note</v>
      </c>
      <c r="E1152" s="349">
        <f t="shared" ca="1" si="1336"/>
        <v>0</v>
      </c>
      <c r="F1152" s="349">
        <f t="shared" ca="1" si="1336"/>
        <v>0</v>
      </c>
      <c r="G1152" s="349">
        <f t="shared" ca="1" si="1336"/>
        <v>0</v>
      </c>
      <c r="H1152" s="349">
        <f t="shared" ca="1" si="1336"/>
        <v>0</v>
      </c>
      <c r="I1152" s="349">
        <f t="shared" ca="1" si="1336"/>
        <v>0</v>
      </c>
      <c r="L1152" s="349">
        <f t="shared" ref="L1152" ca="1" si="1343">(L1137&lt;L$1145)*1</f>
        <v>0</v>
      </c>
      <c r="M1152" s="349">
        <f t="shared" ref="M1152:V1152" ca="1" si="1344">(M1137&lt;M$1145)*1</f>
        <v>0</v>
      </c>
      <c r="N1152" s="349">
        <f t="shared" ca="1" si="1344"/>
        <v>0</v>
      </c>
      <c r="O1152" s="349">
        <f t="shared" ca="1" si="1344"/>
        <v>0</v>
      </c>
      <c r="P1152" s="349">
        <f t="shared" ca="1" si="1344"/>
        <v>0</v>
      </c>
      <c r="Q1152" s="349">
        <f t="shared" ca="1" si="1344"/>
        <v>0</v>
      </c>
      <c r="R1152" s="349">
        <f t="shared" ca="1" si="1344"/>
        <v>0</v>
      </c>
      <c r="S1152" s="349">
        <f t="shared" ca="1" si="1344"/>
        <v>0</v>
      </c>
      <c r="T1152" s="349">
        <f t="shared" ca="1" si="1344"/>
        <v>0</v>
      </c>
      <c r="U1152" s="349">
        <f t="shared" ca="1" si="1344"/>
        <v>0</v>
      </c>
      <c r="V1152" s="349">
        <f t="shared" ca="1" si="1344"/>
        <v>0</v>
      </c>
    </row>
    <row r="1153" spans="2:22" ht="13.5" customHeight="1" outlineLevel="1">
      <c r="B1153" s="38" t="str">
        <f t="shared" si="1335"/>
        <v>Mezzanine</v>
      </c>
      <c r="E1153" s="349">
        <f t="shared" ca="1" si="1336"/>
        <v>0</v>
      </c>
      <c r="F1153" s="349">
        <f t="shared" ca="1" si="1336"/>
        <v>0</v>
      </c>
      <c r="G1153" s="349">
        <f t="shared" ca="1" si="1336"/>
        <v>0</v>
      </c>
      <c r="H1153" s="349">
        <f t="shared" ca="1" si="1336"/>
        <v>0</v>
      </c>
      <c r="I1153" s="349">
        <f t="shared" ca="1" si="1336"/>
        <v>0</v>
      </c>
      <c r="L1153" s="349">
        <f t="shared" ref="L1153" ca="1" si="1345">(L1138&lt;L$1145)*1</f>
        <v>0</v>
      </c>
      <c r="M1153" s="349">
        <f t="shared" ref="M1153:V1153" ca="1" si="1346">(M1138&lt;M$1145)*1</f>
        <v>0</v>
      </c>
      <c r="N1153" s="349">
        <f t="shared" ca="1" si="1346"/>
        <v>0</v>
      </c>
      <c r="O1153" s="349">
        <f t="shared" ca="1" si="1346"/>
        <v>0</v>
      </c>
      <c r="P1153" s="349">
        <f t="shared" ca="1" si="1346"/>
        <v>0</v>
      </c>
      <c r="Q1153" s="349">
        <f t="shared" ca="1" si="1346"/>
        <v>0</v>
      </c>
      <c r="R1153" s="349">
        <f t="shared" ca="1" si="1346"/>
        <v>0</v>
      </c>
      <c r="S1153" s="349">
        <f t="shared" ca="1" si="1346"/>
        <v>0</v>
      </c>
      <c r="T1153" s="349">
        <f t="shared" ca="1" si="1346"/>
        <v>0</v>
      </c>
      <c r="U1153" s="349">
        <f t="shared" ca="1" si="1346"/>
        <v>0</v>
      </c>
      <c r="V1153" s="349">
        <f t="shared" ca="1" si="1346"/>
        <v>0</v>
      </c>
    </row>
    <row r="1154" spans="2:22" ht="13.5" customHeight="1" outlineLevel="1">
      <c r="B1154" s="38" t="str">
        <f t="shared" si="1335"/>
        <v>Seller note</v>
      </c>
      <c r="E1154" s="349">
        <f t="shared" ca="1" si="1336"/>
        <v>0</v>
      </c>
      <c r="F1154" s="349">
        <f t="shared" ca="1" si="1336"/>
        <v>0</v>
      </c>
      <c r="G1154" s="349">
        <f t="shared" ca="1" si="1336"/>
        <v>0</v>
      </c>
      <c r="H1154" s="349">
        <f t="shared" ca="1" si="1336"/>
        <v>0</v>
      </c>
      <c r="I1154" s="349">
        <f t="shared" ca="1" si="1336"/>
        <v>0</v>
      </c>
      <c r="L1154" s="349">
        <f t="shared" ref="L1154" ca="1" si="1347">(L1139&lt;L$1145)*1</f>
        <v>0</v>
      </c>
      <c r="M1154" s="349">
        <f t="shared" ref="M1154:V1154" ca="1" si="1348">(M1139&lt;M$1145)*1</f>
        <v>0</v>
      </c>
      <c r="N1154" s="349">
        <f t="shared" ca="1" si="1348"/>
        <v>0</v>
      </c>
      <c r="O1154" s="349">
        <f t="shared" ca="1" si="1348"/>
        <v>0</v>
      </c>
      <c r="P1154" s="349">
        <f t="shared" ca="1" si="1348"/>
        <v>0</v>
      </c>
      <c r="Q1154" s="349">
        <f t="shared" ca="1" si="1348"/>
        <v>0</v>
      </c>
      <c r="R1154" s="349">
        <f t="shared" ca="1" si="1348"/>
        <v>0</v>
      </c>
      <c r="S1154" s="349">
        <f t="shared" ca="1" si="1348"/>
        <v>0</v>
      </c>
      <c r="T1154" s="349">
        <f t="shared" ca="1" si="1348"/>
        <v>0</v>
      </c>
      <c r="U1154" s="349">
        <f t="shared" ca="1" si="1348"/>
        <v>0</v>
      </c>
      <c r="V1154" s="349">
        <f t="shared" ca="1" si="1348"/>
        <v>0</v>
      </c>
    </row>
    <row r="1155" spans="2:22" ht="13.5" customHeight="1" outlineLevel="1">
      <c r="B1155" s="38" t="str">
        <f t="shared" si="1335"/>
        <v>Convertible bond</v>
      </c>
      <c r="E1155" s="349">
        <f t="shared" ca="1" si="1336"/>
        <v>0</v>
      </c>
      <c r="F1155" s="349">
        <f t="shared" ca="1" si="1336"/>
        <v>0</v>
      </c>
      <c r="G1155" s="349">
        <f t="shared" ca="1" si="1336"/>
        <v>0</v>
      </c>
      <c r="H1155" s="349">
        <f t="shared" ca="1" si="1336"/>
        <v>0</v>
      </c>
      <c r="I1155" s="349">
        <f t="shared" ca="1" si="1336"/>
        <v>0</v>
      </c>
      <c r="L1155" s="349">
        <f t="shared" ref="L1155" ca="1" si="1349">(L1140&lt;L$1145)*1</f>
        <v>0</v>
      </c>
      <c r="M1155" s="349">
        <f t="shared" ref="M1155:V1155" ca="1" si="1350">(M1140&lt;M$1145)*1</f>
        <v>0</v>
      </c>
      <c r="N1155" s="349">
        <f t="shared" ca="1" si="1350"/>
        <v>0</v>
      </c>
      <c r="O1155" s="349">
        <f t="shared" ca="1" si="1350"/>
        <v>0</v>
      </c>
      <c r="P1155" s="349">
        <f t="shared" ca="1" si="1350"/>
        <v>0</v>
      </c>
      <c r="Q1155" s="349">
        <f t="shared" ca="1" si="1350"/>
        <v>0</v>
      </c>
      <c r="R1155" s="349">
        <f t="shared" ca="1" si="1350"/>
        <v>0</v>
      </c>
      <c r="S1155" s="349">
        <f t="shared" ca="1" si="1350"/>
        <v>0</v>
      </c>
      <c r="T1155" s="349">
        <f t="shared" ca="1" si="1350"/>
        <v>0</v>
      </c>
      <c r="U1155" s="349">
        <f t="shared" ca="1" si="1350"/>
        <v>0</v>
      </c>
      <c r="V1155" s="349">
        <f t="shared" ca="1" si="1350"/>
        <v>0</v>
      </c>
    </row>
    <row r="1156" spans="2:22" ht="13.5" customHeight="1" outlineLevel="1">
      <c r="B1156" s="38" t="str">
        <f t="shared" si="1335"/>
        <v>[Debt 8]</v>
      </c>
      <c r="E1156" s="349">
        <f t="shared" ca="1" si="1336"/>
        <v>0</v>
      </c>
      <c r="F1156" s="349">
        <f t="shared" ca="1" si="1336"/>
        <v>0</v>
      </c>
      <c r="G1156" s="349">
        <f t="shared" ca="1" si="1336"/>
        <v>0</v>
      </c>
      <c r="H1156" s="349">
        <f t="shared" ca="1" si="1336"/>
        <v>0</v>
      </c>
      <c r="I1156" s="349">
        <f t="shared" ca="1" si="1336"/>
        <v>0</v>
      </c>
      <c r="L1156" s="349">
        <f t="shared" ref="L1156" ca="1" si="1351">(L1141&lt;L$1145)*1</f>
        <v>0</v>
      </c>
      <c r="M1156" s="349">
        <f t="shared" ref="M1156:V1156" ca="1" si="1352">(M1141&lt;M$1145)*1</f>
        <v>0</v>
      </c>
      <c r="N1156" s="349">
        <f t="shared" ca="1" si="1352"/>
        <v>0</v>
      </c>
      <c r="O1156" s="349">
        <f t="shared" ca="1" si="1352"/>
        <v>0</v>
      </c>
      <c r="P1156" s="349">
        <f t="shared" ca="1" si="1352"/>
        <v>0</v>
      </c>
      <c r="Q1156" s="349">
        <f t="shared" ca="1" si="1352"/>
        <v>0</v>
      </c>
      <c r="R1156" s="349">
        <f t="shared" ca="1" si="1352"/>
        <v>0</v>
      </c>
      <c r="S1156" s="349">
        <f t="shared" ca="1" si="1352"/>
        <v>0</v>
      </c>
      <c r="T1156" s="349">
        <f t="shared" ca="1" si="1352"/>
        <v>0</v>
      </c>
      <c r="U1156" s="349">
        <f t="shared" ca="1" si="1352"/>
        <v>0</v>
      </c>
      <c r="V1156" s="349">
        <f t="shared" ca="1" si="1352"/>
        <v>0</v>
      </c>
    </row>
    <row r="1157" spans="2:22" ht="13.5" customHeight="1" outlineLevel="1">
      <c r="B1157" s="38" t="str">
        <f t="shared" si="1335"/>
        <v>Preferred stock - A</v>
      </c>
      <c r="E1157" s="349">
        <f t="shared" ca="1" si="1336"/>
        <v>0</v>
      </c>
      <c r="F1157" s="349">
        <f t="shared" ca="1" si="1336"/>
        <v>0</v>
      </c>
      <c r="G1157" s="349">
        <f t="shared" ca="1" si="1336"/>
        <v>0</v>
      </c>
      <c r="H1157" s="349">
        <f t="shared" ca="1" si="1336"/>
        <v>0</v>
      </c>
      <c r="I1157" s="349">
        <f t="shared" ca="1" si="1336"/>
        <v>0</v>
      </c>
      <c r="L1157" s="349">
        <f t="shared" ref="L1157" ca="1" si="1353">(L1142&lt;L$1145)*1</f>
        <v>0</v>
      </c>
      <c r="M1157" s="349">
        <f t="shared" ref="M1157:V1157" ca="1" si="1354">(M1142&lt;M$1145)*1</f>
        <v>0</v>
      </c>
      <c r="N1157" s="349">
        <f t="shared" ca="1" si="1354"/>
        <v>0</v>
      </c>
      <c r="O1157" s="349">
        <f t="shared" ca="1" si="1354"/>
        <v>0</v>
      </c>
      <c r="P1157" s="349">
        <f t="shared" ca="1" si="1354"/>
        <v>0</v>
      </c>
      <c r="Q1157" s="349">
        <f t="shared" ca="1" si="1354"/>
        <v>0</v>
      </c>
      <c r="R1157" s="349">
        <f t="shared" ca="1" si="1354"/>
        <v>0</v>
      </c>
      <c r="S1157" s="349">
        <f t="shared" ca="1" si="1354"/>
        <v>0</v>
      </c>
      <c r="T1157" s="349">
        <f t="shared" ca="1" si="1354"/>
        <v>0</v>
      </c>
      <c r="U1157" s="349">
        <f t="shared" ca="1" si="1354"/>
        <v>0</v>
      </c>
      <c r="V1157" s="349">
        <f t="shared" ca="1" si="1354"/>
        <v>0</v>
      </c>
    </row>
    <row r="1158" spans="2:22" ht="13.5" customHeight="1" outlineLevel="1">
      <c r="B1158" s="38" t="str">
        <f t="shared" si="1335"/>
        <v>Preferred stock - B</v>
      </c>
      <c r="E1158" s="349">
        <f t="shared" ca="1" si="1336"/>
        <v>0</v>
      </c>
      <c r="F1158" s="349">
        <f t="shared" ca="1" si="1336"/>
        <v>0</v>
      </c>
      <c r="G1158" s="349">
        <f t="shared" ca="1" si="1336"/>
        <v>0</v>
      </c>
      <c r="H1158" s="349">
        <f t="shared" ca="1" si="1336"/>
        <v>0</v>
      </c>
      <c r="I1158" s="349">
        <f t="shared" ca="1" si="1336"/>
        <v>0</v>
      </c>
      <c r="L1158" s="349">
        <f t="shared" ref="L1158" ca="1" si="1355">(L1143&lt;L$1145)*1</f>
        <v>0</v>
      </c>
      <c r="M1158" s="349">
        <f t="shared" ref="M1158:V1158" ca="1" si="1356">(M1143&lt;M$1145)*1</f>
        <v>0</v>
      </c>
      <c r="N1158" s="349">
        <f t="shared" ca="1" si="1356"/>
        <v>0</v>
      </c>
      <c r="O1158" s="349">
        <f t="shared" ca="1" si="1356"/>
        <v>0</v>
      </c>
      <c r="P1158" s="349">
        <f t="shared" ca="1" si="1356"/>
        <v>0</v>
      </c>
      <c r="Q1158" s="349">
        <f t="shared" ca="1" si="1356"/>
        <v>0</v>
      </c>
      <c r="R1158" s="349">
        <f t="shared" ca="1" si="1356"/>
        <v>0</v>
      </c>
      <c r="S1158" s="349">
        <f t="shared" ca="1" si="1356"/>
        <v>0</v>
      </c>
      <c r="T1158" s="349">
        <f t="shared" ca="1" si="1356"/>
        <v>0</v>
      </c>
      <c r="U1158" s="349">
        <f t="shared" ca="1" si="1356"/>
        <v>0</v>
      </c>
      <c r="V1158" s="349">
        <f t="shared" ca="1" si="1356"/>
        <v>0</v>
      </c>
    </row>
    <row r="1159" spans="2:22" ht="13.5" customHeight="1" outlineLevel="1"/>
    <row r="1160" spans="2:22" s="35" customFormat="1" ht="13.5" customHeight="1" outlineLevel="1">
      <c r="B1160" s="46" t="s">
        <v>240</v>
      </c>
      <c r="C1160" s="47"/>
      <c r="D1160" s="47"/>
      <c r="E1160" s="47"/>
      <c r="F1160" s="47"/>
      <c r="G1160" s="47"/>
      <c r="H1160" s="47"/>
      <c r="I1160" s="47"/>
      <c r="J1160" s="47"/>
      <c r="K1160" s="47"/>
      <c r="L1160" s="47"/>
      <c r="M1160" s="47"/>
      <c r="N1160" s="47"/>
      <c r="O1160" s="47"/>
      <c r="P1160" s="47"/>
      <c r="Q1160" s="47"/>
      <c r="R1160" s="47"/>
      <c r="S1160" s="47"/>
      <c r="T1160" s="47"/>
      <c r="U1160" s="47"/>
      <c r="V1160" s="48"/>
    </row>
    <row r="1161" spans="2:22" ht="5.0999999999999996" customHeight="1" outlineLevel="1">
      <c r="K1161" s="223"/>
    </row>
    <row r="1162" spans="2:22" ht="13.5" customHeight="1" outlineLevel="1">
      <c r="B1162" s="38" t="s">
        <v>131</v>
      </c>
      <c r="C1162" s="263"/>
      <c r="E1162" s="535">
        <v>34.921999999999997</v>
      </c>
      <c r="F1162" s="65">
        <f>E1162</f>
        <v>34.921999999999997</v>
      </c>
      <c r="G1162" s="65">
        <f t="shared" ref="G1162:I1162" si="1357">F1162</f>
        <v>34.921999999999997</v>
      </c>
      <c r="H1162" s="65">
        <f t="shared" si="1357"/>
        <v>34.921999999999997</v>
      </c>
      <c r="I1162" s="65">
        <f t="shared" si="1357"/>
        <v>34.921999999999997</v>
      </c>
      <c r="J1162" s="350">
        <f ca="1">OFFSET(D1162,0,MATCH(J$1104,E$1104:I$1104))</f>
        <v>34.921999999999997</v>
      </c>
      <c r="K1162" s="351">
        <f ca="1">IF(LBO,-J1162+D26/$P$12,0)</f>
        <v>-2.4025113547866965</v>
      </c>
      <c r="L1162" s="350">
        <f ca="1">SUM(J1162:K1162)</f>
        <v>32.519488645213301</v>
      </c>
      <c r="M1162" s="65">
        <f ca="1">L1162</f>
        <v>32.519488645213301</v>
      </c>
      <c r="N1162" s="65">
        <f t="shared" ref="N1162:V1162" ca="1" si="1358">M1162</f>
        <v>32.519488645213301</v>
      </c>
      <c r="O1162" s="65">
        <f t="shared" ca="1" si="1358"/>
        <v>32.519488645213301</v>
      </c>
      <c r="P1162" s="65">
        <f t="shared" ca="1" si="1358"/>
        <v>32.519488645213301</v>
      </c>
      <c r="Q1162" s="65">
        <f t="shared" ca="1" si="1358"/>
        <v>32.519488645213301</v>
      </c>
      <c r="R1162" s="65">
        <f t="shared" ca="1" si="1358"/>
        <v>32.519488645213301</v>
      </c>
      <c r="S1162" s="65">
        <f t="shared" ca="1" si="1358"/>
        <v>32.519488645213301</v>
      </c>
      <c r="T1162" s="65">
        <f t="shared" ca="1" si="1358"/>
        <v>32.519488645213301</v>
      </c>
      <c r="U1162" s="65">
        <f t="shared" ca="1" si="1358"/>
        <v>32.519488645213301</v>
      </c>
      <c r="V1162" s="65">
        <f t="shared" ca="1" si="1358"/>
        <v>32.519488645213301</v>
      </c>
    </row>
    <row r="1163" spans="2:22" ht="13.5" customHeight="1" outlineLevel="1">
      <c r="B1163" s="38" t="s">
        <v>663</v>
      </c>
      <c r="C1163" s="339"/>
      <c r="E1163" s="65">
        <f>$K1098</f>
        <v>9.9206088992974312E-2</v>
      </c>
      <c r="F1163" s="65">
        <f>$K1098</f>
        <v>9.9206088992974312E-2</v>
      </c>
      <c r="G1163" s="65">
        <f>$K1098</f>
        <v>9.9206088992974312E-2</v>
      </c>
      <c r="H1163" s="65">
        <f>$K1098</f>
        <v>9.9206088992974312E-2</v>
      </c>
      <c r="I1163" s="65">
        <f>$K1098</f>
        <v>9.9206088992974312E-2</v>
      </c>
      <c r="J1163" s="350">
        <f ca="1">OFFSET(D1163,0,MATCH(J$1104,E$1104:I$1104))</f>
        <v>9.9206088992974312E-2</v>
      </c>
      <c r="K1163" s="351">
        <f ca="1">IF(LBO,-J1163,0)</f>
        <v>-9.9206088992974312E-2</v>
      </c>
      <c r="L1163" s="350">
        <f ca="1">SUM(J1163:K1163)</f>
        <v>0</v>
      </c>
      <c r="M1163" s="65">
        <f ca="1">L1163</f>
        <v>0</v>
      </c>
      <c r="N1163" s="65">
        <f t="shared" ref="N1163:V1163" ca="1" si="1359">M1163</f>
        <v>0</v>
      </c>
      <c r="O1163" s="65">
        <f t="shared" ca="1" si="1359"/>
        <v>0</v>
      </c>
      <c r="P1163" s="65">
        <f t="shared" ca="1" si="1359"/>
        <v>0</v>
      </c>
      <c r="Q1163" s="65">
        <f t="shared" ca="1" si="1359"/>
        <v>0</v>
      </c>
      <c r="R1163" s="65">
        <f t="shared" ca="1" si="1359"/>
        <v>0</v>
      </c>
      <c r="S1163" s="65">
        <f t="shared" ca="1" si="1359"/>
        <v>0</v>
      </c>
      <c r="T1163" s="65">
        <f t="shared" ca="1" si="1359"/>
        <v>0</v>
      </c>
      <c r="U1163" s="65">
        <f t="shared" ca="1" si="1359"/>
        <v>0</v>
      </c>
      <c r="V1163" s="65">
        <f t="shared" ca="1" si="1359"/>
        <v>0</v>
      </c>
    </row>
    <row r="1164" spans="2:22" ht="13.5" customHeight="1" outlineLevel="1">
      <c r="B1164" s="38" t="s">
        <v>537</v>
      </c>
      <c r="C1164" s="339"/>
      <c r="E1164" s="65">
        <f ca="1">SUMPRODUCT(E1120:E1130,E1148:E1158)</f>
        <v>0</v>
      </c>
      <c r="F1164" s="65">
        <f t="shared" ref="F1164:I1164" ca="1" si="1360">SUMPRODUCT(F1120:F1130,F1148:F1158)</f>
        <v>0</v>
      </c>
      <c r="G1164" s="65">
        <f t="shared" ca="1" si="1360"/>
        <v>0</v>
      </c>
      <c r="H1164" s="65">
        <f t="shared" ca="1" si="1360"/>
        <v>0</v>
      </c>
      <c r="I1164" s="65">
        <f t="shared" ca="1" si="1360"/>
        <v>0</v>
      </c>
      <c r="J1164" s="350">
        <f ca="1">OFFSET(D1164,0,MATCH(J$1104,E$1104:I$1104))</f>
        <v>0</v>
      </c>
      <c r="K1164" s="351"/>
      <c r="L1164" s="65">
        <f t="shared" ref="L1164:V1164" ca="1" si="1361">SUMPRODUCT(L1120:L1130,L1148:L1158)</f>
        <v>0</v>
      </c>
      <c r="M1164" s="65">
        <f t="shared" ca="1" si="1361"/>
        <v>0</v>
      </c>
      <c r="N1164" s="65">
        <f t="shared" ca="1" si="1361"/>
        <v>0</v>
      </c>
      <c r="O1164" s="65">
        <f t="shared" ca="1" si="1361"/>
        <v>0</v>
      </c>
      <c r="P1164" s="65">
        <f t="shared" ca="1" si="1361"/>
        <v>0</v>
      </c>
      <c r="Q1164" s="65">
        <f t="shared" ca="1" si="1361"/>
        <v>0</v>
      </c>
      <c r="R1164" s="65">
        <f t="shared" ca="1" si="1361"/>
        <v>0</v>
      </c>
      <c r="S1164" s="65">
        <f t="shared" ca="1" si="1361"/>
        <v>0</v>
      </c>
      <c r="T1164" s="65">
        <f t="shared" ca="1" si="1361"/>
        <v>0</v>
      </c>
      <c r="U1164" s="65">
        <f t="shared" ca="1" si="1361"/>
        <v>0</v>
      </c>
      <c r="V1164" s="65">
        <f t="shared" ca="1" si="1361"/>
        <v>0</v>
      </c>
    </row>
    <row r="1165" spans="2:22" ht="13.5" customHeight="1" outlineLevel="1">
      <c r="B1165" s="90" t="s">
        <v>132</v>
      </c>
      <c r="C1165" s="352"/>
      <c r="D1165" s="352"/>
      <c r="E1165" s="353">
        <f t="shared" ref="E1165:V1165" ca="1" si="1362">SUM(E1162:E1164)</f>
        <v>35.021206088992969</v>
      </c>
      <c r="F1165" s="353">
        <f t="shared" ca="1" si="1362"/>
        <v>35.021206088992969</v>
      </c>
      <c r="G1165" s="353">
        <f t="shared" ca="1" si="1362"/>
        <v>35.021206088992969</v>
      </c>
      <c r="H1165" s="353">
        <f t="shared" ca="1" si="1362"/>
        <v>35.021206088992969</v>
      </c>
      <c r="I1165" s="353">
        <f t="shared" ca="1" si="1362"/>
        <v>35.021206088992969</v>
      </c>
      <c r="J1165" s="353">
        <f t="shared" ca="1" si="1362"/>
        <v>35.021206088992969</v>
      </c>
      <c r="K1165" s="354">
        <f t="shared" ca="1" si="1362"/>
        <v>-2.501717443779671</v>
      </c>
      <c r="L1165" s="353">
        <f t="shared" ca="1" si="1362"/>
        <v>32.519488645213301</v>
      </c>
      <c r="M1165" s="353">
        <f t="shared" ca="1" si="1362"/>
        <v>32.519488645213301</v>
      </c>
      <c r="N1165" s="353">
        <f t="shared" ca="1" si="1362"/>
        <v>32.519488645213301</v>
      </c>
      <c r="O1165" s="353">
        <f t="shared" ca="1" si="1362"/>
        <v>32.519488645213301</v>
      </c>
      <c r="P1165" s="353">
        <f t="shared" ca="1" si="1362"/>
        <v>32.519488645213301</v>
      </c>
      <c r="Q1165" s="353">
        <f t="shared" ca="1" si="1362"/>
        <v>32.519488645213301</v>
      </c>
      <c r="R1165" s="353">
        <f t="shared" ca="1" si="1362"/>
        <v>32.519488645213301</v>
      </c>
      <c r="S1165" s="353">
        <f t="shared" ca="1" si="1362"/>
        <v>32.519488645213301</v>
      </c>
      <c r="T1165" s="353">
        <f t="shared" ca="1" si="1362"/>
        <v>32.519488645213301</v>
      </c>
      <c r="U1165" s="353">
        <f t="shared" ca="1" si="1362"/>
        <v>32.519488645213301</v>
      </c>
      <c r="V1165" s="353">
        <f t="shared" ca="1" si="1362"/>
        <v>32.519488645213301</v>
      </c>
    </row>
    <row r="1166" spans="2:22" ht="5.0999999999999996" customHeight="1" outlineLevel="1" thickBot="1">
      <c r="B1166" s="152"/>
      <c r="C1166" s="152"/>
      <c r="D1166" s="152"/>
      <c r="E1166" s="152"/>
      <c r="F1166" s="152"/>
      <c r="G1166" s="152"/>
      <c r="H1166" s="152"/>
      <c r="I1166" s="152"/>
      <c r="J1166" s="152"/>
      <c r="K1166" s="152"/>
      <c r="L1166" s="152"/>
      <c r="M1166" s="152"/>
      <c r="N1166" s="152"/>
      <c r="O1166" s="152"/>
      <c r="P1166" s="152"/>
      <c r="Q1166" s="152"/>
      <c r="R1166" s="152"/>
      <c r="S1166" s="152"/>
      <c r="T1166" s="152"/>
      <c r="U1166" s="152"/>
      <c r="V1166" s="152"/>
    </row>
    <row r="1167" spans="2:22" ht="13.5" customHeight="1" outlineLevel="1"/>
    <row r="1168" spans="2:22" ht="13.5" customHeight="1" outlineLevel="1" thickBot="1"/>
    <row r="1169" spans="1:22" s="35" customFormat="1" ht="20.100000000000001" customHeight="1" thickTop="1">
      <c r="A1169" s="41" t="s">
        <v>426</v>
      </c>
      <c r="B1169" s="42" t="s">
        <v>89</v>
      </c>
      <c r="C1169" s="43"/>
      <c r="D1169" s="44"/>
      <c r="E1169" s="44"/>
      <c r="F1169" s="44"/>
      <c r="G1169" s="44"/>
      <c r="H1169" s="44"/>
      <c r="I1169" s="44"/>
      <c r="J1169" s="44"/>
      <c r="K1169" s="44"/>
      <c r="L1169" s="44"/>
      <c r="M1169" s="44"/>
      <c r="N1169" s="44"/>
      <c r="O1169" s="44"/>
      <c r="P1169" s="44"/>
      <c r="Q1169" s="44"/>
      <c r="R1169" s="44"/>
      <c r="S1169" s="44"/>
      <c r="T1169" s="44"/>
      <c r="U1169" s="44"/>
      <c r="V1169" s="44"/>
    </row>
    <row r="1170" spans="1:22" outlineLevel="1">
      <c r="B1170" s="45"/>
      <c r="V1170" s="355" t="str">
        <f ca="1">err_msg</f>
        <v/>
      </c>
    </row>
    <row r="1171" spans="1:22" s="203" customFormat="1" ht="13.5" customHeight="1" outlineLevel="1">
      <c r="F1171" s="204"/>
      <c r="G1171" s="204"/>
      <c r="H1171" s="204"/>
      <c r="I1171" s="204"/>
      <c r="L1171" s="261"/>
      <c r="M1171" s="126" t="str">
        <f>M$144</f>
        <v>3 Quarters</v>
      </c>
      <c r="N1171" s="205" t="str">
        <f>N$144</f>
        <v>Fiscal Years Ending September 30,</v>
      </c>
      <c r="O1171" s="205"/>
      <c r="P1171" s="205"/>
      <c r="Q1171" s="205"/>
      <c r="R1171" s="205"/>
      <c r="S1171" s="205"/>
      <c r="T1171" s="205"/>
      <c r="U1171" s="205"/>
      <c r="V1171" s="205"/>
    </row>
    <row r="1172" spans="1:22" s="203" customFormat="1" outlineLevel="1">
      <c r="F1172" s="265"/>
      <c r="G1172" s="265"/>
      <c r="H1172" s="265"/>
      <c r="I1172" s="265"/>
      <c r="L1172" s="109"/>
      <c r="M1172" s="109" t="str">
        <f t="shared" ref="M1172" si="1363">M$145</f>
        <v>Ending</v>
      </c>
      <c r="N1172" s="109">
        <f>N$145</f>
        <v>2</v>
      </c>
      <c r="O1172" s="109">
        <f t="shared" ref="O1172:V1172" si="1364">O$145</f>
        <v>3</v>
      </c>
      <c r="P1172" s="109">
        <f t="shared" si="1364"/>
        <v>4</v>
      </c>
      <c r="Q1172" s="109">
        <f t="shared" si="1364"/>
        <v>5</v>
      </c>
      <c r="R1172" s="109">
        <f t="shared" si="1364"/>
        <v>6</v>
      </c>
      <c r="S1172" s="109">
        <f t="shared" si="1364"/>
        <v>7</v>
      </c>
      <c r="T1172" s="109">
        <f t="shared" si="1364"/>
        <v>8</v>
      </c>
      <c r="U1172" s="109">
        <f t="shared" si="1364"/>
        <v>9</v>
      </c>
      <c r="V1172" s="109">
        <f t="shared" si="1364"/>
        <v>10</v>
      </c>
    </row>
    <row r="1173" spans="1:22" s="203" customFormat="1" ht="13.5" customHeight="1" outlineLevel="1" thickBot="1">
      <c r="B1173" s="130" t="s">
        <v>246</v>
      </c>
      <c r="C1173" s="208"/>
      <c r="D1173" s="208"/>
      <c r="E1173" s="208"/>
      <c r="F1173" s="266"/>
      <c r="G1173" s="266"/>
      <c r="H1173" s="266"/>
      <c r="I1173" s="266"/>
      <c r="J1173" s="208"/>
      <c r="K1173" s="208"/>
      <c r="L1173" s="211">
        <f>EOMONTH(M1173,-12)</f>
        <v>45199</v>
      </c>
      <c r="M1173" s="209">
        <f t="shared" ref="M1173" si="1365">M$146</f>
        <v>45565</v>
      </c>
      <c r="N1173" s="211">
        <f>N$146</f>
        <v>45930</v>
      </c>
      <c r="O1173" s="211">
        <f t="shared" ref="O1173:V1173" si="1366">O$146</f>
        <v>46295</v>
      </c>
      <c r="P1173" s="211">
        <f t="shared" si="1366"/>
        <v>46660</v>
      </c>
      <c r="Q1173" s="211">
        <f t="shared" si="1366"/>
        <v>47026</v>
      </c>
      <c r="R1173" s="211">
        <f t="shared" si="1366"/>
        <v>47391</v>
      </c>
      <c r="S1173" s="211">
        <f t="shared" si="1366"/>
        <v>47756</v>
      </c>
      <c r="T1173" s="211">
        <f t="shared" si="1366"/>
        <v>48121</v>
      </c>
      <c r="U1173" s="211">
        <f t="shared" si="1366"/>
        <v>48487</v>
      </c>
      <c r="V1173" s="211">
        <f t="shared" si="1366"/>
        <v>48852</v>
      </c>
    </row>
    <row r="1174" spans="1:22" ht="5.0999999999999996" customHeight="1" outlineLevel="1">
      <c r="M1174" s="356"/>
      <c r="N1174" s="356"/>
      <c r="O1174" s="356"/>
      <c r="P1174" s="356"/>
      <c r="Q1174" s="356"/>
      <c r="R1174" s="356"/>
      <c r="S1174" s="356"/>
      <c r="T1174" s="356"/>
      <c r="U1174" s="356"/>
      <c r="V1174" s="356"/>
    </row>
    <row r="1175" spans="1:22" ht="13.5" customHeight="1" outlineLevel="1">
      <c r="B1175" s="38" t="s">
        <v>355</v>
      </c>
      <c r="L1175" s="516">
        <v>1</v>
      </c>
      <c r="M1175" s="270">
        <f t="shared" ref="M1175:V1175" si="1367">M148</f>
        <v>0.75</v>
      </c>
      <c r="N1175" s="270">
        <f t="shared" si="1367"/>
        <v>1</v>
      </c>
      <c r="O1175" s="270">
        <f t="shared" si="1367"/>
        <v>1</v>
      </c>
      <c r="P1175" s="270">
        <f t="shared" si="1367"/>
        <v>1</v>
      </c>
      <c r="Q1175" s="270">
        <f t="shared" si="1367"/>
        <v>1</v>
      </c>
      <c r="R1175" s="270">
        <f t="shared" si="1367"/>
        <v>1</v>
      </c>
      <c r="S1175" s="270">
        <f t="shared" si="1367"/>
        <v>1</v>
      </c>
      <c r="T1175" s="270">
        <f t="shared" si="1367"/>
        <v>1</v>
      </c>
      <c r="U1175" s="270">
        <f t="shared" si="1367"/>
        <v>1</v>
      </c>
      <c r="V1175" s="270">
        <f t="shared" si="1367"/>
        <v>1</v>
      </c>
    </row>
    <row r="1176" spans="1:22" ht="13.5" customHeight="1" outlineLevel="1">
      <c r="M1176" s="356"/>
      <c r="N1176" s="356"/>
      <c r="O1176" s="356"/>
      <c r="P1176" s="356"/>
      <c r="Q1176" s="356"/>
      <c r="R1176" s="356"/>
      <c r="S1176" s="356"/>
      <c r="T1176" s="356"/>
      <c r="U1176" s="356"/>
      <c r="V1176" s="356"/>
    </row>
    <row r="1177" spans="1:22" s="35" customFormat="1" ht="13.5" customHeight="1" outlineLevel="1">
      <c r="B1177" s="46" t="s">
        <v>370</v>
      </c>
      <c r="C1177" s="47"/>
      <c r="D1177" s="47"/>
      <c r="E1177" s="47"/>
      <c r="F1177" s="47"/>
      <c r="G1177" s="47"/>
      <c r="H1177" s="47"/>
      <c r="I1177" s="47"/>
      <c r="J1177" s="47"/>
      <c r="K1177" s="47"/>
      <c r="L1177" s="47"/>
      <c r="M1177" s="47"/>
      <c r="N1177" s="47"/>
      <c r="O1177" s="47"/>
      <c r="P1177" s="47"/>
      <c r="Q1177" s="47"/>
      <c r="R1177" s="47"/>
      <c r="S1177" s="47"/>
      <c r="T1177" s="47"/>
      <c r="U1177" s="47"/>
      <c r="V1177" s="48"/>
    </row>
    <row r="1178" spans="1:22" ht="5.0999999999999996" customHeight="1" outlineLevel="1">
      <c r="K1178" s="193"/>
    </row>
    <row r="1179" spans="1:22" ht="13.5" customHeight="1" outlineLevel="1">
      <c r="B1179" s="38" t="s">
        <v>20</v>
      </c>
      <c r="L1179" s="507">
        <v>458.1</v>
      </c>
      <c r="M1179" s="507">
        <v>351</v>
      </c>
      <c r="N1179" s="507">
        <v>470.5</v>
      </c>
      <c r="O1179" s="507">
        <v>474.7</v>
      </c>
      <c r="P1179" s="507">
        <v>474.7</v>
      </c>
      <c r="Q1179" s="507" t="s">
        <v>2</v>
      </c>
      <c r="R1179" s="507" t="s">
        <v>2</v>
      </c>
      <c r="S1179" s="507" t="s">
        <v>2</v>
      </c>
      <c r="T1179" s="507" t="s">
        <v>2</v>
      </c>
      <c r="U1179" s="507" t="s">
        <v>2</v>
      </c>
      <c r="V1179" s="507" t="s">
        <v>2</v>
      </c>
    </row>
    <row r="1180" spans="1:22" ht="13.5" customHeight="1" outlineLevel="1">
      <c r="B1180" s="38" t="s">
        <v>28</v>
      </c>
      <c r="L1180" s="519">
        <v>239.6</v>
      </c>
      <c r="M1180" s="519">
        <v>187.35000000000002</v>
      </c>
      <c r="N1180" s="519">
        <v>252.2</v>
      </c>
      <c r="O1180" s="519">
        <v>252.2</v>
      </c>
      <c r="P1180" s="519">
        <v>252.2</v>
      </c>
      <c r="Q1180" s="519" t="s">
        <v>2</v>
      </c>
      <c r="R1180" s="519" t="s">
        <v>2</v>
      </c>
      <c r="S1180" s="519" t="s">
        <v>2</v>
      </c>
      <c r="T1180" s="519" t="s">
        <v>2</v>
      </c>
      <c r="U1180" s="519" t="s">
        <v>2</v>
      </c>
      <c r="V1180" s="519" t="s">
        <v>2</v>
      </c>
    </row>
    <row r="1181" spans="1:22" ht="13.5" customHeight="1" outlineLevel="1">
      <c r="B1181" s="38" t="s">
        <v>29</v>
      </c>
      <c r="L1181" s="519">
        <v>88.3</v>
      </c>
      <c r="M1181" s="519">
        <v>68.775000000000006</v>
      </c>
      <c r="N1181" s="519">
        <v>92.4</v>
      </c>
      <c r="O1181" s="519">
        <v>92.4</v>
      </c>
      <c r="P1181" s="519">
        <v>92.4</v>
      </c>
      <c r="Q1181" s="519" t="s">
        <v>2</v>
      </c>
      <c r="R1181" s="519" t="s">
        <v>2</v>
      </c>
      <c r="S1181" s="519" t="s">
        <v>2</v>
      </c>
      <c r="T1181" s="519" t="s">
        <v>2</v>
      </c>
      <c r="U1181" s="519" t="s">
        <v>2</v>
      </c>
      <c r="V1181" s="519" t="s">
        <v>2</v>
      </c>
    </row>
    <row r="1182" spans="1:22" ht="13.5" customHeight="1" outlineLevel="1">
      <c r="B1182" s="38" t="s">
        <v>33</v>
      </c>
      <c r="L1182" s="519">
        <v>14.1</v>
      </c>
      <c r="M1182" s="519">
        <v>10.574999999999999</v>
      </c>
      <c r="N1182" s="519">
        <v>14.1</v>
      </c>
      <c r="O1182" s="519">
        <v>14.1</v>
      </c>
      <c r="P1182" s="519">
        <v>14.1</v>
      </c>
      <c r="Q1182" s="519" t="s">
        <v>2</v>
      </c>
      <c r="R1182" s="519" t="s">
        <v>2</v>
      </c>
      <c r="S1182" s="519" t="s">
        <v>2</v>
      </c>
      <c r="T1182" s="519" t="s">
        <v>2</v>
      </c>
      <c r="U1182" s="519" t="s">
        <v>2</v>
      </c>
      <c r="V1182" s="519" t="s">
        <v>2</v>
      </c>
    </row>
    <row r="1183" spans="1:22" ht="13.5" customHeight="1" outlineLevel="1">
      <c r="B1183" s="38" t="s">
        <v>34</v>
      </c>
      <c r="L1183" s="519">
        <v>19.600000000000001</v>
      </c>
      <c r="M1183" s="519">
        <v>14.924999999999999</v>
      </c>
      <c r="N1183" s="519">
        <v>20</v>
      </c>
      <c r="O1183" s="519">
        <v>20</v>
      </c>
      <c r="P1183" s="519">
        <v>20</v>
      </c>
      <c r="Q1183" s="519" t="s">
        <v>2</v>
      </c>
      <c r="R1183" s="519" t="s">
        <v>2</v>
      </c>
      <c r="S1183" s="519" t="s">
        <v>2</v>
      </c>
      <c r="T1183" s="519" t="s">
        <v>2</v>
      </c>
      <c r="U1183" s="519" t="s">
        <v>2</v>
      </c>
      <c r="V1183" s="519" t="s">
        <v>2</v>
      </c>
    </row>
    <row r="1184" spans="1:22" ht="13.5" customHeight="1" outlineLevel="1">
      <c r="B1184" s="38" t="s">
        <v>148</v>
      </c>
      <c r="L1184" s="519">
        <v>10.8</v>
      </c>
      <c r="M1184" s="519">
        <v>7.9499999999999993</v>
      </c>
      <c r="N1184" s="519">
        <v>10.7</v>
      </c>
      <c r="O1184" s="519">
        <v>10.7</v>
      </c>
      <c r="P1184" s="519">
        <v>10.7</v>
      </c>
      <c r="Q1184" s="519" t="s">
        <v>2</v>
      </c>
      <c r="R1184" s="519" t="s">
        <v>2</v>
      </c>
      <c r="S1184" s="519" t="s">
        <v>2</v>
      </c>
      <c r="T1184" s="519" t="s">
        <v>2</v>
      </c>
      <c r="U1184" s="519" t="s">
        <v>2</v>
      </c>
      <c r="V1184" s="519" t="s">
        <v>2</v>
      </c>
    </row>
    <row r="1185" spans="2:22" ht="13.5" customHeight="1" outlineLevel="1">
      <c r="B1185" s="38" t="s">
        <v>174</v>
      </c>
      <c r="L1185" s="519">
        <v>16</v>
      </c>
      <c r="M1185" s="519">
        <v>12.75</v>
      </c>
      <c r="N1185" s="519">
        <v>18</v>
      </c>
      <c r="O1185" s="519">
        <v>19</v>
      </c>
      <c r="P1185" s="519">
        <v>19</v>
      </c>
      <c r="Q1185" s="519" t="s">
        <v>2</v>
      </c>
      <c r="R1185" s="519" t="s">
        <v>2</v>
      </c>
      <c r="S1185" s="519" t="s">
        <v>2</v>
      </c>
      <c r="T1185" s="519" t="s">
        <v>2</v>
      </c>
      <c r="U1185" s="519" t="s">
        <v>2</v>
      </c>
      <c r="V1185" s="519" t="s">
        <v>2</v>
      </c>
    </row>
    <row r="1186" spans="2:22" ht="13.5" customHeight="1" outlineLevel="1">
      <c r="O1186" s="356"/>
      <c r="P1186" s="356"/>
      <c r="Q1186" s="356"/>
      <c r="R1186" s="356"/>
      <c r="S1186" s="356"/>
      <c r="T1186" s="356"/>
      <c r="U1186" s="356"/>
      <c r="V1186" s="356"/>
    </row>
    <row r="1187" spans="2:22" s="35" customFormat="1" ht="13.5" customHeight="1" outlineLevel="1">
      <c r="B1187" s="46" t="s">
        <v>374</v>
      </c>
      <c r="C1187" s="47"/>
      <c r="D1187" s="47"/>
      <c r="E1187" s="47"/>
      <c r="F1187" s="47"/>
      <c r="G1187" s="47"/>
      <c r="H1187" s="47"/>
      <c r="I1187" s="47"/>
      <c r="J1187" s="47"/>
      <c r="K1187" s="47"/>
      <c r="L1187" s="47"/>
      <c r="M1187" s="47"/>
      <c r="N1187" s="47"/>
      <c r="O1187" s="47"/>
      <c r="P1187" s="47"/>
      <c r="Q1187" s="47"/>
      <c r="R1187" s="47"/>
      <c r="S1187" s="47"/>
      <c r="T1187" s="47"/>
      <c r="U1187" s="47"/>
      <c r="V1187" s="48"/>
    </row>
    <row r="1188" spans="2:22" ht="5.0999999999999996" customHeight="1" outlineLevel="1">
      <c r="K1188" s="193"/>
    </row>
    <row r="1189" spans="2:22" ht="13.5" customHeight="1" outlineLevel="1">
      <c r="B1189" s="150" t="s">
        <v>376</v>
      </c>
    </row>
    <row r="1190" spans="2:22" ht="13.5" customHeight="1" outlineLevel="1">
      <c r="B1190" s="547" t="s">
        <v>369</v>
      </c>
      <c r="M1190" s="202">
        <f>E210</f>
        <v>4.1666666666666963E-2</v>
      </c>
      <c r="N1190" s="75">
        <f>M1190</f>
        <v>4.1666666666666963E-2</v>
      </c>
      <c r="O1190" s="75">
        <f t="shared" ref="O1190:V1190" si="1368">N1190</f>
        <v>4.1666666666666963E-2</v>
      </c>
      <c r="P1190" s="75">
        <f t="shared" si="1368"/>
        <v>4.1666666666666963E-2</v>
      </c>
      <c r="Q1190" s="75">
        <f t="shared" si="1368"/>
        <v>4.1666666666666963E-2</v>
      </c>
      <c r="R1190" s="75">
        <f t="shared" si="1368"/>
        <v>4.1666666666666963E-2</v>
      </c>
      <c r="S1190" s="75">
        <f t="shared" si="1368"/>
        <v>4.1666666666666963E-2</v>
      </c>
      <c r="T1190" s="75">
        <f t="shared" si="1368"/>
        <v>4.1666666666666963E-2</v>
      </c>
      <c r="U1190" s="75">
        <f t="shared" si="1368"/>
        <v>4.1666666666666963E-2</v>
      </c>
      <c r="V1190" s="75">
        <f t="shared" si="1368"/>
        <v>4.1666666666666963E-2</v>
      </c>
    </row>
    <row r="1191" spans="2:22" ht="13.5" customHeight="1" outlineLevel="1">
      <c r="B1191" s="547" t="s">
        <v>90</v>
      </c>
      <c r="M1191" s="523">
        <v>0.14000000000000001</v>
      </c>
      <c r="N1191" s="523">
        <v>4.4999999999999998E-2</v>
      </c>
      <c r="O1191" s="523">
        <v>3.5000000000000003E-2</v>
      </c>
      <c r="P1191" s="523">
        <v>2.5000000000000001E-2</v>
      </c>
      <c r="Q1191" s="523">
        <v>2.5000000000000001E-2</v>
      </c>
      <c r="R1191" s="523">
        <v>2.5000000000000001E-2</v>
      </c>
      <c r="S1191" s="523">
        <v>2.5000000000000001E-2</v>
      </c>
      <c r="T1191" s="523">
        <v>2.5000000000000001E-2</v>
      </c>
      <c r="U1191" s="523">
        <v>2.5000000000000001E-2</v>
      </c>
      <c r="V1191" s="523">
        <v>2.5000000000000001E-2</v>
      </c>
    </row>
    <row r="1192" spans="2:22" ht="13.5" customHeight="1" outlineLevel="1">
      <c r="B1192" s="547" t="s">
        <v>91</v>
      </c>
      <c r="M1192" s="202">
        <f>((M1179/M1175)/(L1179/L1175)-1)</f>
        <v>2.16110019646365E-2</v>
      </c>
      <c r="N1192" s="202">
        <f>((N1179/N1175)/(M1179/M1175)-1)</f>
        <v>5.3418803418803229E-3</v>
      </c>
      <c r="O1192" s="202">
        <f>((O1179/O1175)/(N1179/N1175)-1)</f>
        <v>8.9266737513282735E-3</v>
      </c>
      <c r="P1192" s="75">
        <f t="shared" ref="P1192:V1192" si="1369">O1192</f>
        <v>8.9266737513282735E-3</v>
      </c>
      <c r="Q1192" s="75">
        <f t="shared" si="1369"/>
        <v>8.9266737513282735E-3</v>
      </c>
      <c r="R1192" s="75">
        <f t="shared" si="1369"/>
        <v>8.9266737513282735E-3</v>
      </c>
      <c r="S1192" s="75">
        <f t="shared" si="1369"/>
        <v>8.9266737513282735E-3</v>
      </c>
      <c r="T1192" s="75">
        <f t="shared" si="1369"/>
        <v>8.9266737513282735E-3</v>
      </c>
      <c r="U1192" s="75">
        <f t="shared" si="1369"/>
        <v>8.9266737513282735E-3</v>
      </c>
      <c r="V1192" s="75">
        <f t="shared" si="1369"/>
        <v>8.9266737513282735E-3</v>
      </c>
    </row>
    <row r="1193" spans="2:22" ht="13.5" customHeight="1" outlineLevel="1">
      <c r="B1193" s="547" t="s">
        <v>92</v>
      </c>
      <c r="M1193" s="523">
        <v>1.4999999999999999E-2</v>
      </c>
      <c r="N1193" s="523">
        <v>5.3418803418803229E-3</v>
      </c>
      <c r="O1193" s="523">
        <v>0</v>
      </c>
      <c r="P1193" s="523">
        <v>0</v>
      </c>
      <c r="Q1193" s="523">
        <v>0</v>
      </c>
      <c r="R1193" s="523">
        <v>0</v>
      </c>
      <c r="S1193" s="523">
        <v>0</v>
      </c>
      <c r="T1193" s="523">
        <v>0</v>
      </c>
      <c r="U1193" s="523">
        <v>0</v>
      </c>
      <c r="V1193" s="523">
        <v>0</v>
      </c>
    </row>
    <row r="1194" spans="2:22" ht="13.5" customHeight="1" outlineLevel="1">
      <c r="B1194" s="52" t="str">
        <f ca="1">OFFSET(B1189,op_case,0)</f>
        <v>Analyst Case</v>
      </c>
      <c r="C1194" s="52"/>
      <c r="D1194" s="52"/>
      <c r="E1194" s="52"/>
      <c r="F1194" s="52"/>
      <c r="G1194" s="52"/>
      <c r="H1194" s="52"/>
      <c r="I1194" s="52"/>
      <c r="J1194" s="52"/>
      <c r="K1194" s="52"/>
      <c r="L1194" s="357"/>
      <c r="M1194" s="358">
        <f t="shared" ref="M1194:V1194" ca="1" si="1370">OFFSET(M1189,op_case,0)</f>
        <v>2.16110019646365E-2</v>
      </c>
      <c r="N1194" s="358">
        <f t="shared" ca="1" si="1370"/>
        <v>5.3418803418803229E-3</v>
      </c>
      <c r="O1194" s="358">
        <f t="shared" ca="1" si="1370"/>
        <v>8.9266737513282735E-3</v>
      </c>
      <c r="P1194" s="358">
        <f t="shared" ca="1" si="1370"/>
        <v>8.9266737513282735E-3</v>
      </c>
      <c r="Q1194" s="358">
        <f t="shared" ca="1" si="1370"/>
        <v>8.9266737513282735E-3</v>
      </c>
      <c r="R1194" s="358">
        <f t="shared" ca="1" si="1370"/>
        <v>8.9266737513282735E-3</v>
      </c>
      <c r="S1194" s="358">
        <f t="shared" ca="1" si="1370"/>
        <v>8.9266737513282735E-3</v>
      </c>
      <c r="T1194" s="358">
        <f t="shared" ca="1" si="1370"/>
        <v>8.9266737513282735E-3</v>
      </c>
      <c r="U1194" s="358">
        <f t="shared" ca="1" si="1370"/>
        <v>8.9266737513282735E-3</v>
      </c>
      <c r="V1194" s="358">
        <f t="shared" ca="1" si="1370"/>
        <v>8.9266737513282735E-3</v>
      </c>
    </row>
    <row r="1195" spans="2:22" outlineLevel="1"/>
    <row r="1196" spans="2:22" outlineLevel="1">
      <c r="B1196" s="150" t="s">
        <v>93</v>
      </c>
      <c r="M1196" s="359"/>
      <c r="N1196" s="359"/>
      <c r="O1196" s="359"/>
      <c r="P1196" s="359"/>
      <c r="Q1196" s="359"/>
      <c r="R1196" s="359"/>
      <c r="S1196" s="359"/>
      <c r="T1196" s="359"/>
      <c r="U1196" s="359"/>
      <c r="V1196" s="359"/>
    </row>
    <row r="1197" spans="2:22" outlineLevel="1">
      <c r="B1197" s="38" t="str">
        <f>B1190</f>
        <v>Flat Case</v>
      </c>
      <c r="M1197" s="202">
        <f>E214</f>
        <v>0.51265229615745078</v>
      </c>
      <c r="N1197" s="75">
        <f>M1197</f>
        <v>0.51265229615745078</v>
      </c>
      <c r="O1197" s="75">
        <f t="shared" ref="O1197:V1197" si="1371">N1197</f>
        <v>0.51265229615745078</v>
      </c>
      <c r="P1197" s="75">
        <f t="shared" si="1371"/>
        <v>0.51265229615745078</v>
      </c>
      <c r="Q1197" s="75">
        <f t="shared" si="1371"/>
        <v>0.51265229615745078</v>
      </c>
      <c r="R1197" s="75">
        <f t="shared" si="1371"/>
        <v>0.51265229615745078</v>
      </c>
      <c r="S1197" s="75">
        <f t="shared" si="1371"/>
        <v>0.51265229615745078</v>
      </c>
      <c r="T1197" s="75">
        <f t="shared" si="1371"/>
        <v>0.51265229615745078</v>
      </c>
      <c r="U1197" s="75">
        <f t="shared" si="1371"/>
        <v>0.51265229615745078</v>
      </c>
      <c r="V1197" s="75">
        <f t="shared" si="1371"/>
        <v>0.51265229615745078</v>
      </c>
    </row>
    <row r="1198" spans="2:22" outlineLevel="1">
      <c r="B1198" s="38" t="str">
        <f>B1191</f>
        <v>Management Case</v>
      </c>
      <c r="M1198" s="523">
        <v>0.52</v>
      </c>
      <c r="N1198" s="523">
        <v>0.51500000000000001</v>
      </c>
      <c r="O1198" s="523">
        <v>0.51500000000000001</v>
      </c>
      <c r="P1198" s="523">
        <v>0.51</v>
      </c>
      <c r="Q1198" s="523">
        <v>0.51</v>
      </c>
      <c r="R1198" s="523">
        <v>0.51</v>
      </c>
      <c r="S1198" s="523">
        <v>0.51</v>
      </c>
      <c r="T1198" s="523">
        <v>0.51</v>
      </c>
      <c r="U1198" s="523">
        <v>0.51</v>
      </c>
      <c r="V1198" s="523">
        <v>0.51</v>
      </c>
    </row>
    <row r="1199" spans="2:22" outlineLevel="1">
      <c r="B1199" s="38" t="str">
        <f>B1192</f>
        <v>Analyst Case</v>
      </c>
      <c r="M1199" s="75">
        <f>M1180/M1179</f>
        <v>0.53376068376068386</v>
      </c>
      <c r="N1199" s="75">
        <f t="shared" ref="N1199:O1199" si="1372">N1180/N1179</f>
        <v>0.53602550478214661</v>
      </c>
      <c r="O1199" s="75">
        <f t="shared" si="1372"/>
        <v>0.53128291552559515</v>
      </c>
      <c r="P1199" s="202">
        <f t="shared" ref="P1199:V1199" si="1373">O1199</f>
        <v>0.53128291552559515</v>
      </c>
      <c r="Q1199" s="75">
        <f t="shared" si="1373"/>
        <v>0.53128291552559515</v>
      </c>
      <c r="R1199" s="75">
        <f t="shared" si="1373"/>
        <v>0.53128291552559515</v>
      </c>
      <c r="S1199" s="75">
        <f t="shared" si="1373"/>
        <v>0.53128291552559515</v>
      </c>
      <c r="T1199" s="75">
        <f t="shared" si="1373"/>
        <v>0.53128291552559515</v>
      </c>
      <c r="U1199" s="75">
        <f t="shared" si="1373"/>
        <v>0.53128291552559515</v>
      </c>
      <c r="V1199" s="75">
        <f t="shared" si="1373"/>
        <v>0.53128291552559515</v>
      </c>
    </row>
    <row r="1200" spans="2:22" outlineLevel="1">
      <c r="B1200" s="38" t="str">
        <f>B1193</f>
        <v>Downside Case</v>
      </c>
      <c r="M1200" s="523">
        <v>0.52500000000000002</v>
      </c>
      <c r="N1200" s="523">
        <v>0.53900000000000003</v>
      </c>
      <c r="O1200" s="523">
        <v>0.54200000000000004</v>
      </c>
      <c r="P1200" s="75">
        <f>O1200</f>
        <v>0.54200000000000004</v>
      </c>
      <c r="Q1200" s="75">
        <f t="shared" ref="Q1200:V1200" si="1374">P1200</f>
        <v>0.54200000000000004</v>
      </c>
      <c r="R1200" s="75">
        <f t="shared" si="1374"/>
        <v>0.54200000000000004</v>
      </c>
      <c r="S1200" s="75">
        <f t="shared" si="1374"/>
        <v>0.54200000000000004</v>
      </c>
      <c r="T1200" s="75">
        <f t="shared" si="1374"/>
        <v>0.54200000000000004</v>
      </c>
      <c r="U1200" s="75">
        <f t="shared" si="1374"/>
        <v>0.54200000000000004</v>
      </c>
      <c r="V1200" s="75">
        <f t="shared" si="1374"/>
        <v>0.54200000000000004</v>
      </c>
    </row>
    <row r="1201" spans="2:22" outlineLevel="1">
      <c r="B1201" s="52" t="str">
        <f ca="1">OFFSET(B1196,op_case,0)</f>
        <v>Analyst Case</v>
      </c>
      <c r="C1201" s="52"/>
      <c r="D1201" s="52"/>
      <c r="E1201" s="52"/>
      <c r="F1201" s="52"/>
      <c r="G1201" s="52"/>
      <c r="H1201" s="52"/>
      <c r="I1201" s="52"/>
      <c r="J1201" s="52"/>
      <c r="K1201" s="52"/>
      <c r="L1201" s="357"/>
      <c r="M1201" s="358">
        <f t="shared" ref="M1201:V1201" ca="1" si="1375">OFFSET(M1196,op_case,0)</f>
        <v>0.53376068376068386</v>
      </c>
      <c r="N1201" s="358">
        <f t="shared" ca="1" si="1375"/>
        <v>0.53602550478214661</v>
      </c>
      <c r="O1201" s="358">
        <f t="shared" ca="1" si="1375"/>
        <v>0.53128291552559515</v>
      </c>
      <c r="P1201" s="358">
        <f t="shared" ca="1" si="1375"/>
        <v>0.53128291552559515</v>
      </c>
      <c r="Q1201" s="358">
        <f t="shared" ca="1" si="1375"/>
        <v>0.53128291552559515</v>
      </c>
      <c r="R1201" s="358">
        <f t="shared" ca="1" si="1375"/>
        <v>0.53128291552559515</v>
      </c>
      <c r="S1201" s="358">
        <f t="shared" ca="1" si="1375"/>
        <v>0.53128291552559515</v>
      </c>
      <c r="T1201" s="358">
        <f t="shared" ca="1" si="1375"/>
        <v>0.53128291552559515</v>
      </c>
      <c r="U1201" s="358">
        <f t="shared" ca="1" si="1375"/>
        <v>0.53128291552559515</v>
      </c>
      <c r="V1201" s="358">
        <f t="shared" ca="1" si="1375"/>
        <v>0.53128291552559515</v>
      </c>
    </row>
    <row r="1202" spans="2:22" outlineLevel="1">
      <c r="L1202" s="201"/>
      <c r="M1202" s="75"/>
      <c r="N1202" s="75"/>
      <c r="O1202" s="75"/>
      <c r="P1202" s="75"/>
      <c r="Q1202" s="75"/>
      <c r="R1202" s="75"/>
      <c r="S1202" s="75"/>
      <c r="T1202" s="75"/>
      <c r="U1202" s="75"/>
      <c r="V1202" s="75"/>
    </row>
    <row r="1203" spans="2:22" outlineLevel="1">
      <c r="B1203" s="150" t="s">
        <v>94</v>
      </c>
      <c r="M1203" s="359"/>
      <c r="N1203" s="359"/>
      <c r="O1203" s="359"/>
      <c r="P1203" s="359"/>
      <c r="Q1203" s="359"/>
      <c r="R1203" s="359"/>
      <c r="S1203" s="359"/>
      <c r="T1203" s="359"/>
      <c r="U1203" s="359"/>
      <c r="V1203" s="359"/>
    </row>
    <row r="1204" spans="2:22" outlineLevel="1">
      <c r="B1204" s="38" t="str">
        <f>B1190</f>
        <v>Flat Case</v>
      </c>
      <c r="M1204" s="202">
        <f>E215</f>
        <v>0.18931583880037486</v>
      </c>
      <c r="N1204" s="75">
        <f>M1204</f>
        <v>0.18931583880037486</v>
      </c>
      <c r="O1204" s="75">
        <f t="shared" ref="O1204:V1204" si="1376">N1204</f>
        <v>0.18931583880037486</v>
      </c>
      <c r="P1204" s="75">
        <f t="shared" si="1376"/>
        <v>0.18931583880037486</v>
      </c>
      <c r="Q1204" s="75">
        <f t="shared" si="1376"/>
        <v>0.18931583880037486</v>
      </c>
      <c r="R1204" s="75">
        <f t="shared" si="1376"/>
        <v>0.18931583880037486</v>
      </c>
      <c r="S1204" s="75">
        <f t="shared" si="1376"/>
        <v>0.18931583880037486</v>
      </c>
      <c r="T1204" s="75">
        <f t="shared" si="1376"/>
        <v>0.18931583880037486</v>
      </c>
      <c r="U1204" s="75">
        <f t="shared" si="1376"/>
        <v>0.18931583880037486</v>
      </c>
      <c r="V1204" s="75">
        <f t="shared" si="1376"/>
        <v>0.18931583880037486</v>
      </c>
    </row>
    <row r="1205" spans="2:22" outlineLevel="1">
      <c r="B1205" s="38" t="str">
        <f>B1191</f>
        <v>Management Case</v>
      </c>
      <c r="M1205" s="523">
        <v>0.19</v>
      </c>
      <c r="N1205" s="523">
        <v>0.19</v>
      </c>
      <c r="O1205" s="523">
        <v>0.189</v>
      </c>
      <c r="P1205" s="523">
        <v>0.188</v>
      </c>
      <c r="Q1205" s="523">
        <v>0.187</v>
      </c>
      <c r="R1205" s="523">
        <v>0.187</v>
      </c>
      <c r="S1205" s="523">
        <v>0.187</v>
      </c>
      <c r="T1205" s="523">
        <v>0.187</v>
      </c>
      <c r="U1205" s="523">
        <v>0.187</v>
      </c>
      <c r="V1205" s="523">
        <v>0.187</v>
      </c>
    </row>
    <row r="1206" spans="2:22" outlineLevel="1">
      <c r="B1206" s="38" t="str">
        <f>B1192</f>
        <v>Analyst Case</v>
      </c>
      <c r="M1206" s="75">
        <f>M1181/M1179</f>
        <v>0.19594017094017097</v>
      </c>
      <c r="N1206" s="75">
        <f>N1181/N1179</f>
        <v>0.19638682252922424</v>
      </c>
      <c r="O1206" s="75">
        <f>O1181/O1179</f>
        <v>0.19464925215925849</v>
      </c>
      <c r="P1206" s="202">
        <f t="shared" ref="P1206:V1206" si="1377">O1206</f>
        <v>0.19464925215925849</v>
      </c>
      <c r="Q1206" s="75">
        <f t="shared" si="1377"/>
        <v>0.19464925215925849</v>
      </c>
      <c r="R1206" s="75">
        <f t="shared" si="1377"/>
        <v>0.19464925215925849</v>
      </c>
      <c r="S1206" s="75">
        <f t="shared" si="1377"/>
        <v>0.19464925215925849</v>
      </c>
      <c r="T1206" s="75">
        <f t="shared" si="1377"/>
        <v>0.19464925215925849</v>
      </c>
      <c r="U1206" s="75">
        <f t="shared" si="1377"/>
        <v>0.19464925215925849</v>
      </c>
      <c r="V1206" s="75">
        <f t="shared" si="1377"/>
        <v>0.19464925215925849</v>
      </c>
    </row>
    <row r="1207" spans="2:22" outlineLevel="1">
      <c r="B1207" s="38" t="str">
        <f>B1193</f>
        <v>Downside Case</v>
      </c>
      <c r="M1207" s="523">
        <v>0.2</v>
      </c>
      <c r="N1207" s="523">
        <v>0.21</v>
      </c>
      <c r="O1207" s="523">
        <v>0.22</v>
      </c>
      <c r="P1207" s="75">
        <f>O1207</f>
        <v>0.22</v>
      </c>
      <c r="Q1207" s="75">
        <f t="shared" ref="Q1207:V1207" si="1378">P1207</f>
        <v>0.22</v>
      </c>
      <c r="R1207" s="75">
        <f t="shared" si="1378"/>
        <v>0.22</v>
      </c>
      <c r="S1207" s="75">
        <f t="shared" si="1378"/>
        <v>0.22</v>
      </c>
      <c r="T1207" s="75">
        <f t="shared" si="1378"/>
        <v>0.22</v>
      </c>
      <c r="U1207" s="75">
        <f t="shared" si="1378"/>
        <v>0.22</v>
      </c>
      <c r="V1207" s="75">
        <f t="shared" si="1378"/>
        <v>0.22</v>
      </c>
    </row>
    <row r="1208" spans="2:22" outlineLevel="1">
      <c r="B1208" s="52" t="str">
        <f ca="1">OFFSET(B1203,op_case,0)</f>
        <v>Analyst Case</v>
      </c>
      <c r="C1208" s="52"/>
      <c r="D1208" s="52"/>
      <c r="E1208" s="52"/>
      <c r="F1208" s="52"/>
      <c r="G1208" s="52"/>
      <c r="H1208" s="52"/>
      <c r="I1208" s="52"/>
      <c r="J1208" s="52"/>
      <c r="K1208" s="52"/>
      <c r="L1208" s="357"/>
      <c r="M1208" s="358">
        <f t="shared" ref="M1208:V1208" ca="1" si="1379">OFFSET(M1203,op_case,0)</f>
        <v>0.19594017094017097</v>
      </c>
      <c r="N1208" s="358">
        <f t="shared" ca="1" si="1379"/>
        <v>0.19638682252922424</v>
      </c>
      <c r="O1208" s="358">
        <f t="shared" ca="1" si="1379"/>
        <v>0.19464925215925849</v>
      </c>
      <c r="P1208" s="358">
        <f t="shared" ca="1" si="1379"/>
        <v>0.19464925215925849</v>
      </c>
      <c r="Q1208" s="358">
        <f t="shared" ca="1" si="1379"/>
        <v>0.19464925215925849</v>
      </c>
      <c r="R1208" s="358">
        <f t="shared" ca="1" si="1379"/>
        <v>0.19464925215925849</v>
      </c>
      <c r="S1208" s="358">
        <f t="shared" ca="1" si="1379"/>
        <v>0.19464925215925849</v>
      </c>
      <c r="T1208" s="358">
        <f t="shared" ca="1" si="1379"/>
        <v>0.19464925215925849</v>
      </c>
      <c r="U1208" s="358">
        <f t="shared" ca="1" si="1379"/>
        <v>0.19464925215925849</v>
      </c>
      <c r="V1208" s="358">
        <f t="shared" ca="1" si="1379"/>
        <v>0.19464925215925849</v>
      </c>
    </row>
    <row r="1209" spans="2:22" outlineLevel="1">
      <c r="L1209" s="201"/>
      <c r="M1209" s="75"/>
      <c r="N1209" s="75"/>
      <c r="O1209" s="75"/>
      <c r="P1209" s="75"/>
      <c r="Q1209" s="75"/>
      <c r="R1209" s="75"/>
      <c r="S1209" s="75"/>
      <c r="T1209" s="75"/>
      <c r="U1209" s="75"/>
      <c r="V1209" s="75"/>
    </row>
    <row r="1210" spans="2:22" outlineLevel="1">
      <c r="B1210" s="150" t="s">
        <v>372</v>
      </c>
      <c r="M1210" s="359"/>
      <c r="N1210" s="359"/>
      <c r="O1210" s="359"/>
      <c r="P1210" s="359"/>
      <c r="Q1210" s="359"/>
      <c r="R1210" s="359"/>
      <c r="S1210" s="359"/>
      <c r="T1210" s="359"/>
      <c r="U1210" s="359"/>
      <c r="V1210" s="359"/>
    </row>
    <row r="1211" spans="2:22" outlineLevel="1">
      <c r="B1211" s="38" t="str">
        <f>B1197</f>
        <v>Flat Case</v>
      </c>
      <c r="M1211" s="202">
        <f>E216</f>
        <v>3.0927835051546389E-2</v>
      </c>
      <c r="N1211" s="75">
        <f>M1211</f>
        <v>3.0927835051546389E-2</v>
      </c>
      <c r="O1211" s="75">
        <f t="shared" ref="O1211:V1211" si="1380">N1211</f>
        <v>3.0927835051546389E-2</v>
      </c>
      <c r="P1211" s="75">
        <f t="shared" si="1380"/>
        <v>3.0927835051546389E-2</v>
      </c>
      <c r="Q1211" s="75">
        <f t="shared" si="1380"/>
        <v>3.0927835051546389E-2</v>
      </c>
      <c r="R1211" s="75">
        <f t="shared" si="1380"/>
        <v>3.0927835051546389E-2</v>
      </c>
      <c r="S1211" s="75">
        <f t="shared" si="1380"/>
        <v>3.0927835051546389E-2</v>
      </c>
      <c r="T1211" s="75">
        <f t="shared" si="1380"/>
        <v>3.0927835051546389E-2</v>
      </c>
      <c r="U1211" s="75">
        <f t="shared" si="1380"/>
        <v>3.0927835051546389E-2</v>
      </c>
      <c r="V1211" s="75">
        <f t="shared" si="1380"/>
        <v>3.0927835051546389E-2</v>
      </c>
    </row>
    <row r="1212" spans="2:22" outlineLevel="1">
      <c r="B1212" s="38" t="str">
        <f>B1198</f>
        <v>Management Case</v>
      </c>
      <c r="M1212" s="523">
        <v>0.03</v>
      </c>
      <c r="N1212" s="523">
        <v>0.03</v>
      </c>
      <c r="O1212" s="523">
        <v>0.03</v>
      </c>
      <c r="P1212" s="523">
        <v>0.03</v>
      </c>
      <c r="Q1212" s="523">
        <v>0.03</v>
      </c>
      <c r="R1212" s="523">
        <v>0.03</v>
      </c>
      <c r="S1212" s="523">
        <v>0.03</v>
      </c>
      <c r="T1212" s="523">
        <v>0.03</v>
      </c>
      <c r="U1212" s="523">
        <v>0.03</v>
      </c>
      <c r="V1212" s="523">
        <v>0.03</v>
      </c>
    </row>
    <row r="1213" spans="2:22" outlineLevel="1">
      <c r="B1213" s="38" t="str">
        <f>B1199</f>
        <v>Analyst Case</v>
      </c>
      <c r="M1213" s="75">
        <f>M1182/M1179</f>
        <v>3.0128205128205125E-2</v>
      </c>
      <c r="N1213" s="75">
        <f t="shared" ref="N1213:O1213" si="1381">N1182/N1179</f>
        <v>2.9968119022316685E-2</v>
      </c>
      <c r="O1213" s="75">
        <f t="shared" si="1381"/>
        <v>2.9702970297029702E-2</v>
      </c>
      <c r="P1213" s="202">
        <f t="shared" ref="P1213:V1213" si="1382">O1213</f>
        <v>2.9702970297029702E-2</v>
      </c>
      <c r="Q1213" s="75">
        <f t="shared" si="1382"/>
        <v>2.9702970297029702E-2</v>
      </c>
      <c r="R1213" s="75">
        <f t="shared" si="1382"/>
        <v>2.9702970297029702E-2</v>
      </c>
      <c r="S1213" s="75">
        <f t="shared" si="1382"/>
        <v>2.9702970297029702E-2</v>
      </c>
      <c r="T1213" s="75">
        <f t="shared" si="1382"/>
        <v>2.9702970297029702E-2</v>
      </c>
      <c r="U1213" s="75">
        <f t="shared" si="1382"/>
        <v>2.9702970297029702E-2</v>
      </c>
      <c r="V1213" s="75">
        <f t="shared" si="1382"/>
        <v>2.9702970297029702E-2</v>
      </c>
    </row>
    <row r="1214" spans="2:22" outlineLevel="1">
      <c r="B1214" s="38" t="str">
        <f>B1200</f>
        <v>Downside Case</v>
      </c>
      <c r="M1214" s="523">
        <v>0.03</v>
      </c>
      <c r="N1214" s="523">
        <v>0.03</v>
      </c>
      <c r="O1214" s="523">
        <v>0.03</v>
      </c>
      <c r="P1214" s="75">
        <f>O1214</f>
        <v>0.03</v>
      </c>
      <c r="Q1214" s="75">
        <f t="shared" ref="Q1214:V1214" si="1383">P1214</f>
        <v>0.03</v>
      </c>
      <c r="R1214" s="75">
        <f t="shared" si="1383"/>
        <v>0.03</v>
      </c>
      <c r="S1214" s="75">
        <f t="shared" si="1383"/>
        <v>0.03</v>
      </c>
      <c r="T1214" s="75">
        <f t="shared" si="1383"/>
        <v>0.03</v>
      </c>
      <c r="U1214" s="75">
        <f t="shared" si="1383"/>
        <v>0.03</v>
      </c>
      <c r="V1214" s="75">
        <f t="shared" si="1383"/>
        <v>0.03</v>
      </c>
    </row>
    <row r="1215" spans="2:22" outlineLevel="1">
      <c r="B1215" s="52" t="str">
        <f ca="1">OFFSET(B1210,op_case,0)</f>
        <v>Analyst Case</v>
      </c>
      <c r="C1215" s="52"/>
      <c r="D1215" s="52"/>
      <c r="E1215" s="52"/>
      <c r="F1215" s="52"/>
      <c r="G1215" s="52"/>
      <c r="H1215" s="52"/>
      <c r="I1215" s="52"/>
      <c r="J1215" s="52"/>
      <c r="K1215" s="52"/>
      <c r="L1215" s="357"/>
      <c r="M1215" s="358">
        <f t="shared" ref="M1215:V1215" ca="1" si="1384">OFFSET(M1210,op_case,0)</f>
        <v>3.0128205128205125E-2</v>
      </c>
      <c r="N1215" s="358">
        <f t="shared" ca="1" si="1384"/>
        <v>2.9968119022316685E-2</v>
      </c>
      <c r="O1215" s="358">
        <f t="shared" ca="1" si="1384"/>
        <v>2.9702970297029702E-2</v>
      </c>
      <c r="P1215" s="358">
        <f t="shared" ca="1" si="1384"/>
        <v>2.9702970297029702E-2</v>
      </c>
      <c r="Q1215" s="358">
        <f t="shared" ca="1" si="1384"/>
        <v>2.9702970297029702E-2</v>
      </c>
      <c r="R1215" s="358">
        <f t="shared" ca="1" si="1384"/>
        <v>2.9702970297029702E-2</v>
      </c>
      <c r="S1215" s="358">
        <f t="shared" ca="1" si="1384"/>
        <v>2.9702970297029702E-2</v>
      </c>
      <c r="T1215" s="358">
        <f t="shared" ca="1" si="1384"/>
        <v>2.9702970297029702E-2</v>
      </c>
      <c r="U1215" s="358">
        <f t="shared" ca="1" si="1384"/>
        <v>2.9702970297029702E-2</v>
      </c>
      <c r="V1215" s="358">
        <f t="shared" ca="1" si="1384"/>
        <v>2.9702970297029702E-2</v>
      </c>
    </row>
    <row r="1216" spans="2:22" outlineLevel="1">
      <c r="L1216" s="201"/>
      <c r="M1216" s="75"/>
      <c r="N1216" s="75"/>
      <c r="O1216" s="75"/>
      <c r="P1216" s="75"/>
      <c r="Q1216" s="75"/>
      <c r="R1216" s="75"/>
      <c r="S1216" s="75"/>
      <c r="T1216" s="75"/>
      <c r="U1216" s="75"/>
      <c r="V1216" s="75"/>
    </row>
    <row r="1217" spans="2:22" outlineLevel="1">
      <c r="B1217" s="150" t="s">
        <v>373</v>
      </c>
      <c r="M1217" s="359"/>
      <c r="N1217" s="359"/>
      <c r="O1217" s="359"/>
      <c r="P1217" s="359"/>
      <c r="Q1217" s="359"/>
      <c r="R1217" s="359"/>
      <c r="S1217" s="359"/>
      <c r="T1217" s="359"/>
      <c r="U1217" s="359"/>
      <c r="V1217" s="359"/>
    </row>
    <row r="1218" spans="2:22" outlineLevel="1">
      <c r="B1218" s="38" t="str">
        <f>B1204</f>
        <v>Flat Case</v>
      </c>
      <c r="M1218" s="202">
        <f>E217</f>
        <v>4.2174320524835988E-2</v>
      </c>
      <c r="N1218" s="75">
        <f>M1218</f>
        <v>4.2174320524835988E-2</v>
      </c>
      <c r="O1218" s="75">
        <f t="shared" ref="O1218:V1218" si="1385">N1218</f>
        <v>4.2174320524835988E-2</v>
      </c>
      <c r="P1218" s="75">
        <f t="shared" si="1385"/>
        <v>4.2174320524835988E-2</v>
      </c>
      <c r="Q1218" s="75">
        <f t="shared" si="1385"/>
        <v>4.2174320524835988E-2</v>
      </c>
      <c r="R1218" s="75">
        <f t="shared" si="1385"/>
        <v>4.2174320524835988E-2</v>
      </c>
      <c r="S1218" s="75">
        <f t="shared" si="1385"/>
        <v>4.2174320524835988E-2</v>
      </c>
      <c r="T1218" s="75">
        <f t="shared" si="1385"/>
        <v>4.2174320524835988E-2</v>
      </c>
      <c r="U1218" s="75">
        <f t="shared" si="1385"/>
        <v>4.2174320524835988E-2</v>
      </c>
      <c r="V1218" s="75">
        <f t="shared" si="1385"/>
        <v>4.2174320524835988E-2</v>
      </c>
    </row>
    <row r="1219" spans="2:22" outlineLevel="1">
      <c r="B1219" s="38" t="str">
        <f>B1205</f>
        <v>Management Case</v>
      </c>
      <c r="M1219" s="523">
        <v>0.04</v>
      </c>
      <c r="N1219" s="523">
        <v>0.04</v>
      </c>
      <c r="O1219" s="523">
        <v>0.04</v>
      </c>
      <c r="P1219" s="523">
        <v>0.04</v>
      </c>
      <c r="Q1219" s="523">
        <v>0.04</v>
      </c>
      <c r="R1219" s="523">
        <v>0.04</v>
      </c>
      <c r="S1219" s="523">
        <v>0.04</v>
      </c>
      <c r="T1219" s="523">
        <v>0.04</v>
      </c>
      <c r="U1219" s="523">
        <v>0.04</v>
      </c>
      <c r="V1219" s="523">
        <v>0.04</v>
      </c>
    </row>
    <row r="1220" spans="2:22" outlineLevel="1">
      <c r="B1220" s="38" t="str">
        <f>B1206</f>
        <v>Analyst Case</v>
      </c>
      <c r="M1220" s="75">
        <f>M1183/M1179</f>
        <v>4.2521367521367516E-2</v>
      </c>
      <c r="N1220" s="75">
        <f t="shared" ref="N1220:O1220" si="1386">N1183/N1179</f>
        <v>4.250797024442083E-2</v>
      </c>
      <c r="O1220" s="75">
        <f t="shared" si="1386"/>
        <v>4.2131872761744259E-2</v>
      </c>
      <c r="P1220" s="202">
        <f t="shared" ref="P1220:V1220" si="1387">O1220</f>
        <v>4.2131872761744259E-2</v>
      </c>
      <c r="Q1220" s="75">
        <f t="shared" si="1387"/>
        <v>4.2131872761744259E-2</v>
      </c>
      <c r="R1220" s="75">
        <f t="shared" si="1387"/>
        <v>4.2131872761744259E-2</v>
      </c>
      <c r="S1220" s="75">
        <f t="shared" si="1387"/>
        <v>4.2131872761744259E-2</v>
      </c>
      <c r="T1220" s="75">
        <f t="shared" si="1387"/>
        <v>4.2131872761744259E-2</v>
      </c>
      <c r="U1220" s="75">
        <f t="shared" si="1387"/>
        <v>4.2131872761744259E-2</v>
      </c>
      <c r="V1220" s="75">
        <f t="shared" si="1387"/>
        <v>4.2131872761744259E-2</v>
      </c>
    </row>
    <row r="1221" spans="2:22" outlineLevel="1">
      <c r="B1221" s="38" t="str">
        <f>B1207</f>
        <v>Downside Case</v>
      </c>
      <c r="M1221" s="523">
        <v>0.04</v>
      </c>
      <c r="N1221" s="523">
        <v>0.04</v>
      </c>
      <c r="O1221" s="523">
        <v>0.04</v>
      </c>
      <c r="P1221" s="75">
        <f>O1221</f>
        <v>0.04</v>
      </c>
      <c r="Q1221" s="75">
        <f t="shared" ref="Q1221:V1221" si="1388">P1221</f>
        <v>0.04</v>
      </c>
      <c r="R1221" s="75">
        <f t="shared" si="1388"/>
        <v>0.04</v>
      </c>
      <c r="S1221" s="75">
        <f t="shared" si="1388"/>
        <v>0.04</v>
      </c>
      <c r="T1221" s="75">
        <f t="shared" si="1388"/>
        <v>0.04</v>
      </c>
      <c r="U1221" s="75">
        <f t="shared" si="1388"/>
        <v>0.04</v>
      </c>
      <c r="V1221" s="75">
        <f t="shared" si="1388"/>
        <v>0.04</v>
      </c>
    </row>
    <row r="1222" spans="2:22" outlineLevel="1">
      <c r="B1222" s="52" t="str">
        <f ca="1">OFFSET(B1217,op_case,0)</f>
        <v>Analyst Case</v>
      </c>
      <c r="C1222" s="52"/>
      <c r="D1222" s="52"/>
      <c r="E1222" s="52"/>
      <c r="F1222" s="52"/>
      <c r="G1222" s="52"/>
      <c r="H1222" s="52"/>
      <c r="I1222" s="52"/>
      <c r="J1222" s="52"/>
      <c r="K1222" s="52"/>
      <c r="L1222" s="357"/>
      <c r="M1222" s="358">
        <f t="shared" ref="M1222:V1222" ca="1" si="1389">OFFSET(M1217,op_case,0)</f>
        <v>4.2521367521367516E-2</v>
      </c>
      <c r="N1222" s="358">
        <f t="shared" ca="1" si="1389"/>
        <v>4.250797024442083E-2</v>
      </c>
      <c r="O1222" s="358">
        <f t="shared" ca="1" si="1389"/>
        <v>4.2131872761744259E-2</v>
      </c>
      <c r="P1222" s="358">
        <f t="shared" ca="1" si="1389"/>
        <v>4.2131872761744259E-2</v>
      </c>
      <c r="Q1222" s="358">
        <f t="shared" ca="1" si="1389"/>
        <v>4.2131872761744259E-2</v>
      </c>
      <c r="R1222" s="358">
        <f t="shared" ca="1" si="1389"/>
        <v>4.2131872761744259E-2</v>
      </c>
      <c r="S1222" s="358">
        <f t="shared" ca="1" si="1389"/>
        <v>4.2131872761744259E-2</v>
      </c>
      <c r="T1222" s="358">
        <f t="shared" ca="1" si="1389"/>
        <v>4.2131872761744259E-2</v>
      </c>
      <c r="U1222" s="358">
        <f t="shared" ca="1" si="1389"/>
        <v>4.2131872761744259E-2</v>
      </c>
      <c r="V1222" s="358">
        <f t="shared" ca="1" si="1389"/>
        <v>4.2131872761744259E-2</v>
      </c>
    </row>
    <row r="1223" spans="2:22" outlineLevel="1">
      <c r="L1223" s="201"/>
      <c r="M1223" s="75"/>
      <c r="N1223" s="75"/>
      <c r="O1223" s="75"/>
      <c r="P1223" s="75"/>
      <c r="Q1223" s="75"/>
      <c r="R1223" s="75"/>
      <c r="S1223" s="75"/>
      <c r="T1223" s="75"/>
      <c r="U1223" s="75"/>
      <c r="V1223" s="75"/>
    </row>
    <row r="1224" spans="2:22" outlineLevel="1">
      <c r="B1224" s="150" t="s">
        <v>371</v>
      </c>
      <c r="M1224" s="359"/>
      <c r="N1224" s="359"/>
      <c r="O1224" s="359"/>
      <c r="P1224" s="359"/>
      <c r="Q1224" s="359"/>
      <c r="R1224" s="359"/>
      <c r="S1224" s="359"/>
      <c r="T1224" s="359"/>
      <c r="U1224" s="359"/>
      <c r="V1224" s="359"/>
    </row>
    <row r="1225" spans="2:22" outlineLevel="1">
      <c r="B1225" s="38" t="str">
        <f>B1197</f>
        <v>Flat Case</v>
      </c>
      <c r="M1225" s="202">
        <f>E218</f>
        <v>2.7179006560449859E-2</v>
      </c>
      <c r="N1225" s="75">
        <f>M1225</f>
        <v>2.7179006560449859E-2</v>
      </c>
      <c r="O1225" s="75">
        <f t="shared" ref="O1225:V1225" si="1390">N1225</f>
        <v>2.7179006560449859E-2</v>
      </c>
      <c r="P1225" s="75">
        <f t="shared" si="1390"/>
        <v>2.7179006560449859E-2</v>
      </c>
      <c r="Q1225" s="75">
        <f t="shared" si="1390"/>
        <v>2.7179006560449859E-2</v>
      </c>
      <c r="R1225" s="75">
        <f t="shared" si="1390"/>
        <v>2.7179006560449859E-2</v>
      </c>
      <c r="S1225" s="75">
        <f t="shared" si="1390"/>
        <v>2.7179006560449859E-2</v>
      </c>
      <c r="T1225" s="75">
        <f t="shared" si="1390"/>
        <v>2.7179006560449859E-2</v>
      </c>
      <c r="U1225" s="75">
        <f t="shared" si="1390"/>
        <v>2.7179006560449859E-2</v>
      </c>
      <c r="V1225" s="75">
        <f t="shared" si="1390"/>
        <v>2.7179006560449859E-2</v>
      </c>
    </row>
    <row r="1226" spans="2:22" outlineLevel="1">
      <c r="B1226" s="38" t="str">
        <f>B1198</f>
        <v>Management Case</v>
      </c>
      <c r="M1226" s="523">
        <v>2.5000000000000001E-2</v>
      </c>
      <c r="N1226" s="523">
        <v>2.5000000000000001E-2</v>
      </c>
      <c r="O1226" s="523">
        <v>2.5000000000000001E-2</v>
      </c>
      <c r="P1226" s="523">
        <v>2.5000000000000001E-2</v>
      </c>
      <c r="Q1226" s="523">
        <v>2.5000000000000001E-2</v>
      </c>
      <c r="R1226" s="523">
        <v>2.5000000000000001E-2</v>
      </c>
      <c r="S1226" s="523">
        <v>2.5000000000000001E-2</v>
      </c>
      <c r="T1226" s="523">
        <v>2.5000000000000001E-2</v>
      </c>
      <c r="U1226" s="523">
        <v>2.5000000000000001E-2</v>
      </c>
      <c r="V1226" s="523">
        <v>2.5000000000000001E-2</v>
      </c>
    </row>
    <row r="1227" spans="2:22" outlineLevel="1">
      <c r="B1227" s="38" t="str">
        <f>B1199</f>
        <v>Analyst Case</v>
      </c>
      <c r="M1227" s="75">
        <f>M1184/M1179</f>
        <v>2.2649572649572649E-2</v>
      </c>
      <c r="N1227" s="75">
        <f>N1184/N1179</f>
        <v>2.2741764080765142E-2</v>
      </c>
      <c r="O1227" s="75">
        <f>O1184/O1179</f>
        <v>2.2540551927533178E-2</v>
      </c>
      <c r="P1227" s="202">
        <f t="shared" ref="P1227:V1227" si="1391">O1227</f>
        <v>2.2540551927533178E-2</v>
      </c>
      <c r="Q1227" s="75">
        <f t="shared" si="1391"/>
        <v>2.2540551927533178E-2</v>
      </c>
      <c r="R1227" s="75">
        <f t="shared" si="1391"/>
        <v>2.2540551927533178E-2</v>
      </c>
      <c r="S1227" s="75">
        <f t="shared" si="1391"/>
        <v>2.2540551927533178E-2</v>
      </c>
      <c r="T1227" s="75">
        <f t="shared" si="1391"/>
        <v>2.2540551927533178E-2</v>
      </c>
      <c r="U1227" s="75">
        <f t="shared" si="1391"/>
        <v>2.2540551927533178E-2</v>
      </c>
      <c r="V1227" s="75">
        <f t="shared" si="1391"/>
        <v>2.2540551927533178E-2</v>
      </c>
    </row>
    <row r="1228" spans="2:22" outlineLevel="1">
      <c r="B1228" s="38" t="str">
        <f>B1200</f>
        <v>Downside Case</v>
      </c>
      <c r="M1228" s="523">
        <v>2.75E-2</v>
      </c>
      <c r="N1228" s="523">
        <v>2.75E-2</v>
      </c>
      <c r="O1228" s="523">
        <v>2.75E-2</v>
      </c>
      <c r="P1228" s="75">
        <f>O1228</f>
        <v>2.75E-2</v>
      </c>
      <c r="Q1228" s="75">
        <f t="shared" ref="Q1228:V1228" si="1392">P1228</f>
        <v>2.75E-2</v>
      </c>
      <c r="R1228" s="75">
        <f t="shared" si="1392"/>
        <v>2.75E-2</v>
      </c>
      <c r="S1228" s="75">
        <f t="shared" si="1392"/>
        <v>2.75E-2</v>
      </c>
      <c r="T1228" s="75">
        <f t="shared" si="1392"/>
        <v>2.75E-2</v>
      </c>
      <c r="U1228" s="75">
        <f t="shared" si="1392"/>
        <v>2.75E-2</v>
      </c>
      <c r="V1228" s="75">
        <f t="shared" si="1392"/>
        <v>2.75E-2</v>
      </c>
    </row>
    <row r="1229" spans="2:22" outlineLevel="1">
      <c r="B1229" s="52" t="str">
        <f ca="1">OFFSET(B1224,op_case,0)</f>
        <v>Analyst Case</v>
      </c>
      <c r="C1229" s="52"/>
      <c r="D1229" s="52"/>
      <c r="E1229" s="52"/>
      <c r="F1229" s="52"/>
      <c r="G1229" s="52"/>
      <c r="H1229" s="52"/>
      <c r="I1229" s="52"/>
      <c r="J1229" s="52"/>
      <c r="K1229" s="52"/>
      <c r="L1229" s="357"/>
      <c r="M1229" s="358">
        <f t="shared" ref="M1229:V1229" ca="1" si="1393">OFFSET(M1224,op_case,0)</f>
        <v>2.2649572649572649E-2</v>
      </c>
      <c r="N1229" s="358">
        <f t="shared" ca="1" si="1393"/>
        <v>2.2741764080765142E-2</v>
      </c>
      <c r="O1229" s="358">
        <f t="shared" ca="1" si="1393"/>
        <v>2.2540551927533178E-2</v>
      </c>
      <c r="P1229" s="358">
        <f t="shared" ca="1" si="1393"/>
        <v>2.2540551927533178E-2</v>
      </c>
      <c r="Q1229" s="358">
        <f t="shared" ca="1" si="1393"/>
        <v>2.2540551927533178E-2</v>
      </c>
      <c r="R1229" s="358">
        <f t="shared" ca="1" si="1393"/>
        <v>2.2540551927533178E-2</v>
      </c>
      <c r="S1229" s="358">
        <f t="shared" ca="1" si="1393"/>
        <v>2.2540551927533178E-2</v>
      </c>
      <c r="T1229" s="358">
        <f t="shared" ca="1" si="1393"/>
        <v>2.2540551927533178E-2</v>
      </c>
      <c r="U1229" s="358">
        <f t="shared" ca="1" si="1393"/>
        <v>2.2540551927533178E-2</v>
      </c>
      <c r="V1229" s="358">
        <f t="shared" ca="1" si="1393"/>
        <v>2.2540551927533178E-2</v>
      </c>
    </row>
    <row r="1230" spans="2:22" outlineLevel="1">
      <c r="L1230" s="201"/>
      <c r="M1230" s="75"/>
      <c r="N1230" s="75"/>
      <c r="O1230" s="75"/>
      <c r="P1230" s="75"/>
      <c r="Q1230" s="75"/>
      <c r="R1230" s="75"/>
      <c r="S1230" s="75"/>
      <c r="T1230" s="75"/>
      <c r="U1230" s="75"/>
      <c r="V1230" s="75"/>
    </row>
    <row r="1231" spans="2:22" outlineLevel="1">
      <c r="B1231" s="150" t="s">
        <v>375</v>
      </c>
      <c r="M1231" s="359"/>
      <c r="N1231" s="359"/>
      <c r="O1231" s="359"/>
      <c r="P1231" s="359"/>
      <c r="Q1231" s="359"/>
      <c r="R1231" s="359"/>
      <c r="S1231" s="359"/>
      <c r="T1231" s="359"/>
      <c r="U1231" s="359"/>
      <c r="V1231" s="359"/>
    </row>
    <row r="1232" spans="2:22" outlineLevel="1">
      <c r="B1232" s="38" t="str">
        <f>B1190</f>
        <v>Flat Case</v>
      </c>
      <c r="M1232" s="202">
        <f>E219</f>
        <v>4.6860356138706656E-2</v>
      </c>
      <c r="N1232" s="75">
        <f>M1232</f>
        <v>4.6860356138706656E-2</v>
      </c>
      <c r="O1232" s="75">
        <f t="shared" ref="O1232:V1232" si="1394">N1232</f>
        <v>4.6860356138706656E-2</v>
      </c>
      <c r="P1232" s="75">
        <f t="shared" si="1394"/>
        <v>4.6860356138706656E-2</v>
      </c>
      <c r="Q1232" s="75">
        <f t="shared" si="1394"/>
        <v>4.6860356138706656E-2</v>
      </c>
      <c r="R1232" s="75">
        <f t="shared" si="1394"/>
        <v>4.6860356138706656E-2</v>
      </c>
      <c r="S1232" s="75">
        <f t="shared" si="1394"/>
        <v>4.6860356138706656E-2</v>
      </c>
      <c r="T1232" s="75">
        <f t="shared" si="1394"/>
        <v>4.6860356138706656E-2</v>
      </c>
      <c r="U1232" s="75">
        <f t="shared" si="1394"/>
        <v>4.6860356138706656E-2</v>
      </c>
      <c r="V1232" s="75">
        <f t="shared" si="1394"/>
        <v>4.6860356138706656E-2</v>
      </c>
    </row>
    <row r="1233" spans="1:22" outlineLevel="1">
      <c r="B1233" s="38" t="str">
        <f>B1191</f>
        <v>Management Case</v>
      </c>
      <c r="M1233" s="523">
        <v>4.4999999999999998E-2</v>
      </c>
      <c r="N1233" s="523">
        <v>4.3999999999999997E-2</v>
      </c>
      <c r="O1233" s="523">
        <v>4.2999999999999997E-2</v>
      </c>
      <c r="P1233" s="523">
        <v>4.2999999999999997E-2</v>
      </c>
      <c r="Q1233" s="523">
        <v>4.2999999999999997E-2</v>
      </c>
      <c r="R1233" s="523">
        <v>4.2999999999999997E-2</v>
      </c>
      <c r="S1233" s="523">
        <v>4.2999999999999997E-2</v>
      </c>
      <c r="T1233" s="523">
        <v>4.2999999999999997E-2</v>
      </c>
      <c r="U1233" s="523">
        <v>4.2999999999999997E-2</v>
      </c>
      <c r="V1233" s="523">
        <v>4.2999999999999997E-2</v>
      </c>
    </row>
    <row r="1234" spans="1:22" outlineLevel="1">
      <c r="B1234" s="38" t="str">
        <f>B1192</f>
        <v>Analyst Case</v>
      </c>
      <c r="M1234" s="75">
        <f>M1185/M1179</f>
        <v>3.6324786324786328E-2</v>
      </c>
      <c r="N1234" s="75">
        <f>N1185/N1179</f>
        <v>3.8257173219978749E-2</v>
      </c>
      <c r="O1234" s="75">
        <f>O1185/O1179</f>
        <v>4.0025279123657047E-2</v>
      </c>
      <c r="P1234" s="202">
        <f t="shared" ref="P1234:V1234" si="1395">O1234</f>
        <v>4.0025279123657047E-2</v>
      </c>
      <c r="Q1234" s="75">
        <f t="shared" si="1395"/>
        <v>4.0025279123657047E-2</v>
      </c>
      <c r="R1234" s="75">
        <f t="shared" si="1395"/>
        <v>4.0025279123657047E-2</v>
      </c>
      <c r="S1234" s="75">
        <f t="shared" si="1395"/>
        <v>4.0025279123657047E-2</v>
      </c>
      <c r="T1234" s="75">
        <f t="shared" si="1395"/>
        <v>4.0025279123657047E-2</v>
      </c>
      <c r="U1234" s="75">
        <f t="shared" si="1395"/>
        <v>4.0025279123657047E-2</v>
      </c>
      <c r="V1234" s="75">
        <f t="shared" si="1395"/>
        <v>4.0025279123657047E-2</v>
      </c>
    </row>
    <row r="1235" spans="1:22" outlineLevel="1">
      <c r="B1235" s="38" t="str">
        <f>B1193</f>
        <v>Downside Case</v>
      </c>
      <c r="M1235" s="523">
        <v>0.05</v>
      </c>
      <c r="N1235" s="523">
        <v>0.05</v>
      </c>
      <c r="O1235" s="523">
        <v>0.05</v>
      </c>
      <c r="P1235" s="75">
        <f>O1235</f>
        <v>0.05</v>
      </c>
      <c r="Q1235" s="75">
        <f t="shared" ref="Q1235:V1235" si="1396">P1235</f>
        <v>0.05</v>
      </c>
      <c r="R1235" s="75">
        <f t="shared" si="1396"/>
        <v>0.05</v>
      </c>
      <c r="S1235" s="75">
        <f t="shared" si="1396"/>
        <v>0.05</v>
      </c>
      <c r="T1235" s="75">
        <f t="shared" si="1396"/>
        <v>0.05</v>
      </c>
      <c r="U1235" s="75">
        <f t="shared" si="1396"/>
        <v>0.05</v>
      </c>
      <c r="V1235" s="75">
        <f t="shared" si="1396"/>
        <v>0.05</v>
      </c>
    </row>
    <row r="1236" spans="1:22" outlineLevel="1">
      <c r="B1236" s="52" t="str">
        <f ca="1">OFFSET(B1231,op_case,0)</f>
        <v>Analyst Case</v>
      </c>
      <c r="C1236" s="52"/>
      <c r="D1236" s="52"/>
      <c r="E1236" s="52"/>
      <c r="F1236" s="52"/>
      <c r="G1236" s="52"/>
      <c r="H1236" s="52"/>
      <c r="I1236" s="52"/>
      <c r="J1236" s="52"/>
      <c r="K1236" s="52"/>
      <c r="L1236" s="357"/>
      <c r="M1236" s="358">
        <f t="shared" ref="M1236:V1236" ca="1" si="1397">OFFSET(M1231,op_case,0)</f>
        <v>3.6324786324786328E-2</v>
      </c>
      <c r="N1236" s="358">
        <f t="shared" ca="1" si="1397"/>
        <v>3.8257173219978749E-2</v>
      </c>
      <c r="O1236" s="358">
        <f t="shared" ca="1" si="1397"/>
        <v>4.0025279123657047E-2</v>
      </c>
      <c r="P1236" s="358">
        <f t="shared" ca="1" si="1397"/>
        <v>4.0025279123657047E-2</v>
      </c>
      <c r="Q1236" s="358">
        <f t="shared" ca="1" si="1397"/>
        <v>4.0025279123657047E-2</v>
      </c>
      <c r="R1236" s="358">
        <f t="shared" ca="1" si="1397"/>
        <v>4.0025279123657047E-2</v>
      </c>
      <c r="S1236" s="358">
        <f t="shared" ca="1" si="1397"/>
        <v>4.0025279123657047E-2</v>
      </c>
      <c r="T1236" s="358">
        <f t="shared" ca="1" si="1397"/>
        <v>4.0025279123657047E-2</v>
      </c>
      <c r="U1236" s="358">
        <f t="shared" ca="1" si="1397"/>
        <v>4.0025279123657047E-2</v>
      </c>
      <c r="V1236" s="358">
        <f t="shared" ca="1" si="1397"/>
        <v>4.0025279123657047E-2</v>
      </c>
    </row>
    <row r="1237" spans="1:22" ht="5.0999999999999996" customHeight="1" outlineLevel="1" thickBot="1">
      <c r="B1237" s="152"/>
      <c r="C1237" s="152"/>
      <c r="D1237" s="152"/>
      <c r="E1237" s="152"/>
      <c r="F1237" s="152"/>
      <c r="G1237" s="152"/>
      <c r="H1237" s="152"/>
      <c r="I1237" s="152"/>
      <c r="J1237" s="152"/>
      <c r="K1237" s="152"/>
      <c r="L1237" s="152"/>
      <c r="M1237" s="152"/>
      <c r="N1237" s="152"/>
      <c r="O1237" s="152"/>
      <c r="P1237" s="152"/>
      <c r="Q1237" s="152"/>
      <c r="R1237" s="152"/>
      <c r="S1237" s="152"/>
      <c r="T1237" s="152"/>
      <c r="U1237" s="152"/>
      <c r="V1237" s="152"/>
    </row>
    <row r="1238" spans="1:22" outlineLevel="1"/>
    <row r="1239" spans="1:22" ht="14.7" outlineLevel="1" thickBot="1"/>
    <row r="1240" spans="1:22" s="35" customFormat="1" ht="20.100000000000001" customHeight="1" thickTop="1">
      <c r="A1240" s="41" t="s">
        <v>426</v>
      </c>
      <c r="B1240" s="42" t="s">
        <v>640</v>
      </c>
      <c r="C1240" s="43"/>
      <c r="D1240" s="44"/>
      <c r="E1240" s="44"/>
      <c r="F1240" s="44"/>
      <c r="G1240" s="44"/>
      <c r="H1240" s="44"/>
      <c r="I1240" s="44"/>
      <c r="J1240" s="44"/>
      <c r="K1240" s="44"/>
      <c r="L1240" s="44"/>
      <c r="M1240" s="44"/>
      <c r="N1240" s="44"/>
      <c r="O1240" s="44"/>
      <c r="P1240" s="44"/>
      <c r="Q1240" s="44"/>
      <c r="R1240" s="44"/>
      <c r="S1240" s="44"/>
      <c r="T1240" s="44"/>
      <c r="U1240" s="44"/>
      <c r="V1240" s="44"/>
    </row>
    <row r="1241" spans="1:22" s="35" customFormat="1" ht="13.5" customHeight="1" outlineLevel="1">
      <c r="B1241" s="154"/>
      <c r="V1241" s="155" t="str">
        <f ca="1">err_msg</f>
        <v/>
      </c>
    </row>
    <row r="1242" spans="1:22" ht="13.5" customHeight="1" outlineLevel="1" thickBot="1">
      <c r="B1242" s="130" t="s">
        <v>246</v>
      </c>
      <c r="C1242" s="208"/>
      <c r="D1242" s="208"/>
      <c r="E1242" s="208"/>
      <c r="F1242" s="210"/>
      <c r="G1242" s="360" t="s">
        <v>95</v>
      </c>
      <c r="H1242" s="360"/>
      <c r="I1242" s="360"/>
      <c r="J1242" s="360"/>
      <c r="K1242" s="360"/>
      <c r="L1242" s="360"/>
      <c r="M1242" s="210" t="s">
        <v>642</v>
      </c>
      <c r="P1242" s="289"/>
      <c r="Q1242" s="289"/>
    </row>
    <row r="1243" spans="1:22" ht="5.0999999999999996" customHeight="1" outlineLevel="1">
      <c r="G1243" s="361"/>
      <c r="H1243" s="361"/>
      <c r="I1243" s="361"/>
      <c r="J1243" s="361"/>
      <c r="K1243" s="361"/>
      <c r="L1243" s="361"/>
      <c r="M1243" s="362"/>
      <c r="P1243" s="289"/>
      <c r="Q1243" s="289"/>
    </row>
    <row r="1244" spans="1:22" ht="13.5" customHeight="1" outlineLevel="1">
      <c r="B1244" s="38" t="s">
        <v>96</v>
      </c>
      <c r="G1244" s="503">
        <v>1</v>
      </c>
      <c r="H1244" s="363">
        <f>G1244+1</f>
        <v>2</v>
      </c>
      <c r="I1244" s="363">
        <f>H1244+1</f>
        <v>3</v>
      </c>
      <c r="J1244" s="363">
        <f>I1244+1</f>
        <v>4</v>
      </c>
      <c r="K1244" s="363">
        <f>J1244+1</f>
        <v>5</v>
      </c>
      <c r="L1244" s="363">
        <f>K1244+1</f>
        <v>6</v>
      </c>
      <c r="M1244" s="364">
        <f>scenario</f>
        <v>6</v>
      </c>
      <c r="P1244" s="289"/>
      <c r="Q1244" s="289"/>
    </row>
    <row r="1245" spans="1:22" ht="13.5" customHeight="1" outlineLevel="1">
      <c r="B1245" s="38" t="s">
        <v>97</v>
      </c>
      <c r="C1245" s="365"/>
      <c r="D1245" s="365"/>
      <c r="E1245" s="365"/>
      <c r="F1245" s="365"/>
      <c r="G1245" s="539" t="s">
        <v>98</v>
      </c>
      <c r="H1245" s="539" t="s">
        <v>99</v>
      </c>
      <c r="I1245" s="539" t="s">
        <v>100</v>
      </c>
      <c r="J1245" s="539" t="s">
        <v>101</v>
      </c>
      <c r="K1245" s="539" t="s">
        <v>102</v>
      </c>
      <c r="L1245" s="539" t="s">
        <v>103</v>
      </c>
      <c r="M1245" s="366" t="str">
        <f>CHOOSE(M$1244,G1245,H1245,I1245,J1245,K1245,L1245)</f>
        <v>LBO C</v>
      </c>
      <c r="P1245" s="289"/>
      <c r="Q1245" s="289"/>
      <c r="R1245" s="365"/>
      <c r="S1245" s="365"/>
      <c r="T1245" s="365"/>
      <c r="U1245" s="365"/>
      <c r="V1245" s="365"/>
    </row>
    <row r="1246" spans="1:22" ht="13.5" customHeight="1" outlineLevel="1">
      <c r="B1246" s="38" t="s">
        <v>104</v>
      </c>
      <c r="G1246" s="538">
        <v>0</v>
      </c>
      <c r="H1246" s="538">
        <v>0</v>
      </c>
      <c r="I1246" s="538">
        <v>0</v>
      </c>
      <c r="J1246" s="538">
        <v>1</v>
      </c>
      <c r="K1246" s="538">
        <v>1</v>
      </c>
      <c r="L1246" s="538">
        <v>1</v>
      </c>
      <c r="M1246" s="367">
        <f>CHOOSE(M$1244,G1246,H1246,I1246,J1246,K1246,L1246)</f>
        <v>1</v>
      </c>
      <c r="P1246" s="289"/>
      <c r="Q1246" s="289"/>
    </row>
    <row r="1247" spans="1:22" ht="13.5" customHeight="1" outlineLevel="1">
      <c r="B1247" s="38" t="s">
        <v>625</v>
      </c>
      <c r="G1247" s="539">
        <v>0</v>
      </c>
      <c r="H1247" s="539">
        <v>100</v>
      </c>
      <c r="I1247" s="539">
        <v>100</v>
      </c>
      <c r="J1247" s="539">
        <v>100</v>
      </c>
      <c r="K1247" s="539">
        <v>100</v>
      </c>
      <c r="L1247" s="539">
        <v>100</v>
      </c>
      <c r="M1247" s="366">
        <f>CHOOSE(M$1244,G1247,H1247,I1247,J1247,K1247,L1247)</f>
        <v>100</v>
      </c>
      <c r="P1247" s="289"/>
      <c r="Q1247" s="289"/>
    </row>
    <row r="1248" spans="1:22" ht="13.5" customHeight="1" outlineLevel="1">
      <c r="M1248" s="223"/>
      <c r="P1248" s="289"/>
      <c r="Q1248" s="289"/>
    </row>
    <row r="1249" spans="1:22" ht="13.5" customHeight="1" outlineLevel="1">
      <c r="B1249" s="46" t="s">
        <v>44</v>
      </c>
      <c r="C1249" s="47"/>
      <c r="D1249" s="47"/>
      <c r="E1249" s="47"/>
      <c r="F1249" s="47"/>
      <c r="G1249" s="47"/>
      <c r="H1249" s="47"/>
      <c r="I1249" s="47"/>
      <c r="J1249" s="47"/>
      <c r="K1249" s="47"/>
      <c r="L1249" s="47"/>
      <c r="M1249" s="48"/>
      <c r="P1249" s="289"/>
      <c r="Q1249" s="289"/>
    </row>
    <row r="1250" spans="1:22" s="255" customFormat="1" ht="5.0999999999999996" customHeight="1" outlineLevel="1">
      <c r="A1250" s="35"/>
      <c r="B1250" s="35"/>
      <c r="C1250" s="38"/>
      <c r="D1250" s="38"/>
      <c r="E1250" s="38"/>
      <c r="F1250" s="38"/>
      <c r="G1250" s="38"/>
      <c r="H1250" s="368"/>
      <c r="I1250" s="368"/>
      <c r="J1250" s="368"/>
      <c r="K1250" s="368"/>
      <c r="L1250" s="368"/>
      <c r="M1250" s="369"/>
      <c r="P1250" s="370"/>
      <c r="Q1250" s="370"/>
      <c r="R1250" s="371"/>
      <c r="S1250" s="371"/>
      <c r="T1250" s="371"/>
      <c r="U1250" s="371"/>
      <c r="V1250" s="371"/>
    </row>
    <row r="1251" spans="1:22" s="255" customFormat="1" ht="13.5" customHeight="1" outlineLevel="1">
      <c r="A1251" s="35"/>
      <c r="B1251" s="38" t="s">
        <v>298</v>
      </c>
      <c r="C1251" s="38"/>
      <c r="D1251" s="38"/>
      <c r="E1251" s="38"/>
      <c r="F1251" s="38"/>
      <c r="G1251" s="539">
        <v>0</v>
      </c>
      <c r="H1251" s="68">
        <f ca="1">$J$247-$K$19</f>
        <v>82.188343471646988</v>
      </c>
      <c r="I1251" s="68">
        <f ca="1">$J$247-$K$19</f>
        <v>82.188343471646988</v>
      </c>
      <c r="J1251" s="68">
        <f ca="1">$J$247-$K$19</f>
        <v>82.188343471646988</v>
      </c>
      <c r="K1251" s="68">
        <f ca="1">$J$247-$K$19</f>
        <v>82.188343471646988</v>
      </c>
      <c r="L1251" s="68">
        <f ca="1">$J$247-$K$19</f>
        <v>82.188343471646988</v>
      </c>
      <c r="M1251" s="366">
        <f t="shared" ref="M1251:M1265" ca="1" si="1398">CHOOSE(M$1244,G1251,H1251,I1251,J1251,K1251,L1251)</f>
        <v>82.188343471646988</v>
      </c>
      <c r="P1251" s="370"/>
      <c r="Q1251" s="370"/>
      <c r="R1251" s="371"/>
      <c r="S1251" s="371"/>
      <c r="T1251" s="371"/>
      <c r="U1251" s="371"/>
      <c r="V1251" s="371"/>
    </row>
    <row r="1252" spans="1:22" s="255" customFormat="1" ht="13.5" customHeight="1" outlineLevel="1">
      <c r="A1252" s="35"/>
      <c r="B1252" s="38" t="s">
        <v>516</v>
      </c>
      <c r="C1252" s="38"/>
      <c r="D1252" s="38"/>
      <c r="E1252" s="38"/>
      <c r="F1252" s="38"/>
      <c r="G1252" s="540">
        <v>0</v>
      </c>
      <c r="H1252" s="170">
        <f>IF(H1246,$H$1098,0)</f>
        <v>0</v>
      </c>
      <c r="I1252" s="170">
        <f>IF(I1246,$H$1098,0)</f>
        <v>0</v>
      </c>
      <c r="J1252" s="170">
        <f>IF(J1246,$H$1098,0)</f>
        <v>14.05946</v>
      </c>
      <c r="K1252" s="170">
        <f>IF(K1246,$H$1098,0)</f>
        <v>14.05946</v>
      </c>
      <c r="L1252" s="170">
        <f>IF(L1246,$H$1098,0)</f>
        <v>14.05946</v>
      </c>
      <c r="M1252" s="311">
        <f t="shared" si="1398"/>
        <v>14.05946</v>
      </c>
      <c r="P1252" s="370"/>
      <c r="Q1252" s="370"/>
      <c r="R1252" s="371"/>
      <c r="S1252" s="371"/>
      <c r="T1252" s="371"/>
      <c r="U1252" s="371"/>
      <c r="V1252" s="371"/>
    </row>
    <row r="1253" spans="1:22" s="255" customFormat="1" ht="13.5" customHeight="1" outlineLevel="1">
      <c r="A1253" s="35"/>
      <c r="B1253" s="88" t="s">
        <v>619</v>
      </c>
      <c r="C1253" s="38"/>
      <c r="D1253" s="38"/>
      <c r="E1253" s="38"/>
      <c r="F1253" s="38"/>
      <c r="G1253" s="540">
        <v>0</v>
      </c>
      <c r="H1253" s="540">
        <v>0</v>
      </c>
      <c r="I1253" s="540">
        <v>0</v>
      </c>
      <c r="J1253" s="540">
        <v>0</v>
      </c>
      <c r="K1253" s="540">
        <v>0</v>
      </c>
      <c r="L1253" s="540">
        <v>0</v>
      </c>
      <c r="M1253" s="311">
        <f t="shared" si="1398"/>
        <v>0</v>
      </c>
      <c r="P1253" s="370"/>
      <c r="Q1253" s="370"/>
      <c r="R1253" s="371"/>
      <c r="S1253" s="371"/>
      <c r="T1253" s="371"/>
      <c r="U1253" s="371"/>
      <c r="V1253" s="371"/>
    </row>
    <row r="1254" spans="1:22" s="255" customFormat="1" ht="13.5" customHeight="1" outlineLevel="1">
      <c r="A1254" s="35"/>
      <c r="B1254" s="550" t="s">
        <v>301</v>
      </c>
      <c r="C1254" s="38"/>
      <c r="D1254" s="38"/>
      <c r="E1254" s="38"/>
      <c r="F1254" s="38"/>
      <c r="G1254" s="540">
        <v>0</v>
      </c>
      <c r="H1254" s="540">
        <v>125</v>
      </c>
      <c r="I1254" s="540">
        <v>75</v>
      </c>
      <c r="J1254" s="540">
        <v>150</v>
      </c>
      <c r="K1254" s="540">
        <v>0</v>
      </c>
      <c r="L1254" s="540">
        <v>50</v>
      </c>
      <c r="M1254" s="311">
        <f t="shared" si="1398"/>
        <v>50</v>
      </c>
      <c r="P1254" s="370"/>
      <c r="Q1254" s="370"/>
      <c r="R1254" s="371"/>
      <c r="S1254" s="371"/>
      <c r="T1254" s="371"/>
      <c r="U1254" s="371"/>
      <c r="V1254" s="371"/>
    </row>
    <row r="1255" spans="1:22" s="255" customFormat="1" ht="13.5" customHeight="1" outlineLevel="1">
      <c r="A1255" s="35"/>
      <c r="B1255" s="550" t="s">
        <v>302</v>
      </c>
      <c r="C1255" s="38"/>
      <c r="D1255" s="38"/>
      <c r="E1255" s="38"/>
      <c r="F1255" s="38"/>
      <c r="G1255" s="540">
        <v>0</v>
      </c>
      <c r="H1255" s="540">
        <v>0</v>
      </c>
      <c r="I1255" s="540">
        <v>0</v>
      </c>
      <c r="J1255" s="540">
        <v>0</v>
      </c>
      <c r="K1255" s="540">
        <v>75</v>
      </c>
      <c r="L1255" s="540">
        <v>0</v>
      </c>
      <c r="M1255" s="311">
        <f t="shared" si="1398"/>
        <v>0</v>
      </c>
      <c r="P1255" s="370"/>
      <c r="Q1255" s="370"/>
      <c r="R1255" s="371"/>
      <c r="S1255" s="371"/>
      <c r="T1255" s="371"/>
      <c r="U1255" s="371"/>
      <c r="V1255" s="371"/>
    </row>
    <row r="1256" spans="1:22" s="255" customFormat="1" ht="13.5" customHeight="1" outlineLevel="1">
      <c r="A1256" s="35"/>
      <c r="B1256" s="550" t="s">
        <v>305</v>
      </c>
      <c r="C1256" s="38"/>
      <c r="D1256" s="38"/>
      <c r="E1256" s="38"/>
      <c r="F1256" s="38"/>
      <c r="G1256" s="540">
        <v>0</v>
      </c>
      <c r="H1256" s="540">
        <v>50</v>
      </c>
      <c r="I1256" s="540">
        <v>100</v>
      </c>
      <c r="J1256" s="540">
        <v>75</v>
      </c>
      <c r="K1256" s="540">
        <v>100</v>
      </c>
      <c r="L1256" s="540">
        <v>100</v>
      </c>
      <c r="M1256" s="311">
        <f t="shared" si="1398"/>
        <v>100</v>
      </c>
      <c r="P1256" s="370"/>
      <c r="Q1256" s="370"/>
      <c r="R1256" s="371"/>
      <c r="S1256" s="371"/>
      <c r="T1256" s="371"/>
      <c r="U1256" s="371"/>
      <c r="V1256" s="371"/>
    </row>
    <row r="1257" spans="1:22" s="255" customFormat="1" ht="13.5" customHeight="1" outlineLevel="1">
      <c r="A1257" s="35"/>
      <c r="B1257" s="550" t="s">
        <v>300</v>
      </c>
      <c r="C1257" s="38"/>
      <c r="D1257" s="38"/>
      <c r="E1257" s="38"/>
      <c r="F1257" s="38"/>
      <c r="G1257" s="540">
        <v>0</v>
      </c>
      <c r="H1257" s="540">
        <v>0</v>
      </c>
      <c r="I1257" s="540">
        <v>0</v>
      </c>
      <c r="J1257" s="540">
        <v>0</v>
      </c>
      <c r="K1257" s="540">
        <v>0</v>
      </c>
      <c r="L1257" s="540">
        <v>50</v>
      </c>
      <c r="M1257" s="311">
        <f t="shared" si="1398"/>
        <v>50</v>
      </c>
      <c r="P1257" s="370"/>
      <c r="Q1257" s="370"/>
      <c r="R1257" s="371"/>
      <c r="S1257" s="371"/>
      <c r="T1257" s="371"/>
      <c r="U1257" s="371"/>
      <c r="V1257" s="371"/>
    </row>
    <row r="1258" spans="1:22" s="255" customFormat="1" ht="13.5" customHeight="1" outlineLevel="1">
      <c r="A1258" s="35"/>
      <c r="B1258" s="550" t="s">
        <v>45</v>
      </c>
      <c r="C1258" s="38"/>
      <c r="D1258" s="38"/>
      <c r="E1258" s="38"/>
      <c r="F1258" s="38"/>
      <c r="G1258" s="540">
        <v>0</v>
      </c>
      <c r="H1258" s="540">
        <v>0</v>
      </c>
      <c r="I1258" s="540">
        <v>0</v>
      </c>
      <c r="J1258" s="540">
        <v>0</v>
      </c>
      <c r="K1258" s="540">
        <v>0</v>
      </c>
      <c r="L1258" s="540">
        <v>0</v>
      </c>
      <c r="M1258" s="311">
        <f t="shared" si="1398"/>
        <v>0</v>
      </c>
      <c r="P1258" s="370"/>
      <c r="Q1258" s="370"/>
      <c r="R1258" s="371"/>
      <c r="S1258" s="371"/>
      <c r="T1258" s="371"/>
      <c r="U1258" s="371"/>
      <c r="V1258" s="371"/>
    </row>
    <row r="1259" spans="1:22" s="255" customFormat="1" ht="13.5" customHeight="1" outlineLevel="1">
      <c r="A1259" s="35"/>
      <c r="B1259" s="550" t="s">
        <v>299</v>
      </c>
      <c r="C1259" s="38"/>
      <c r="D1259" s="38"/>
      <c r="E1259" s="38"/>
      <c r="F1259" s="38"/>
      <c r="G1259" s="540">
        <v>0</v>
      </c>
      <c r="H1259" s="540">
        <v>0</v>
      </c>
      <c r="I1259" s="540">
        <v>0</v>
      </c>
      <c r="J1259" s="540">
        <v>0</v>
      </c>
      <c r="K1259" s="540">
        <v>0</v>
      </c>
      <c r="L1259" s="540">
        <v>0</v>
      </c>
      <c r="M1259" s="311">
        <f t="shared" si="1398"/>
        <v>0</v>
      </c>
      <c r="P1259" s="370"/>
      <c r="Q1259" s="370"/>
      <c r="R1259" s="371"/>
      <c r="S1259" s="371"/>
      <c r="T1259" s="371"/>
      <c r="U1259" s="371"/>
      <c r="V1259" s="371"/>
    </row>
    <row r="1260" spans="1:22" s="255" customFormat="1" ht="13.5" customHeight="1" outlineLevel="1">
      <c r="A1260" s="35"/>
      <c r="B1260" s="550" t="s">
        <v>521</v>
      </c>
      <c r="C1260" s="38"/>
      <c r="D1260" s="38"/>
      <c r="E1260" s="38"/>
      <c r="F1260" s="38"/>
      <c r="G1260" s="540">
        <v>0</v>
      </c>
      <c r="H1260" s="540">
        <v>0</v>
      </c>
      <c r="I1260" s="540">
        <v>0</v>
      </c>
      <c r="J1260" s="540">
        <v>0</v>
      </c>
      <c r="K1260" s="540">
        <v>0</v>
      </c>
      <c r="L1260" s="540">
        <v>0</v>
      </c>
      <c r="M1260" s="311">
        <f t="shared" si="1398"/>
        <v>0</v>
      </c>
      <c r="P1260" s="370"/>
      <c r="Q1260" s="370"/>
      <c r="R1260" s="371"/>
      <c r="S1260" s="371"/>
      <c r="T1260" s="371"/>
      <c r="U1260" s="371"/>
      <c r="V1260" s="371"/>
    </row>
    <row r="1261" spans="1:22" s="255" customFormat="1" ht="13.5" customHeight="1" outlineLevel="1">
      <c r="A1261" s="35"/>
      <c r="B1261" s="550" t="s">
        <v>349</v>
      </c>
      <c r="C1261" s="38"/>
      <c r="D1261" s="38"/>
      <c r="E1261" s="38"/>
      <c r="F1261" s="38"/>
      <c r="G1261" s="540">
        <v>0</v>
      </c>
      <c r="H1261" s="540">
        <v>0</v>
      </c>
      <c r="I1261" s="540">
        <v>0</v>
      </c>
      <c r="J1261" s="540">
        <v>0</v>
      </c>
      <c r="K1261" s="540">
        <v>0</v>
      </c>
      <c r="L1261" s="540">
        <v>0</v>
      </c>
      <c r="M1261" s="311">
        <f t="shared" si="1398"/>
        <v>0</v>
      </c>
      <c r="P1261" s="370"/>
      <c r="Q1261" s="370"/>
      <c r="R1261" s="371"/>
      <c r="S1261" s="371"/>
      <c r="T1261" s="371"/>
      <c r="U1261" s="371"/>
      <c r="V1261" s="371"/>
    </row>
    <row r="1262" spans="1:22" s="255" customFormat="1" ht="13.5" customHeight="1" outlineLevel="1">
      <c r="A1262" s="35"/>
      <c r="B1262" s="550" t="s">
        <v>303</v>
      </c>
      <c r="C1262" s="38"/>
      <c r="D1262" s="38"/>
      <c r="E1262" s="38"/>
      <c r="F1262" s="38"/>
      <c r="G1262" s="540">
        <v>0</v>
      </c>
      <c r="H1262" s="540">
        <v>0</v>
      </c>
      <c r="I1262" s="540">
        <v>0</v>
      </c>
      <c r="J1262" s="540">
        <v>10</v>
      </c>
      <c r="K1262" s="540">
        <v>75</v>
      </c>
      <c r="L1262" s="540">
        <v>10</v>
      </c>
      <c r="M1262" s="311">
        <f t="shared" si="1398"/>
        <v>10</v>
      </c>
      <c r="P1262" s="370"/>
      <c r="Q1262" s="370"/>
      <c r="R1262" s="371"/>
      <c r="S1262" s="371"/>
      <c r="T1262" s="371"/>
      <c r="U1262" s="371"/>
      <c r="V1262" s="371"/>
    </row>
    <row r="1263" spans="1:22" s="255" customFormat="1" ht="13.5" customHeight="1" outlineLevel="1">
      <c r="A1263" s="35"/>
      <c r="B1263" s="550" t="s">
        <v>304</v>
      </c>
      <c r="C1263" s="38"/>
      <c r="D1263" s="38"/>
      <c r="E1263" s="38"/>
      <c r="F1263" s="38"/>
      <c r="G1263" s="540">
        <v>0</v>
      </c>
      <c r="H1263" s="540">
        <v>0</v>
      </c>
      <c r="I1263" s="540">
        <v>0</v>
      </c>
      <c r="J1263" s="540">
        <v>0</v>
      </c>
      <c r="K1263" s="540">
        <v>0</v>
      </c>
      <c r="L1263" s="540">
        <v>0</v>
      </c>
      <c r="M1263" s="311">
        <f t="shared" si="1398"/>
        <v>0</v>
      </c>
      <c r="P1263" s="370"/>
      <c r="Q1263" s="370"/>
      <c r="R1263" s="371"/>
      <c r="S1263" s="371"/>
      <c r="T1263" s="371"/>
      <c r="U1263" s="371"/>
      <c r="V1263" s="371"/>
    </row>
    <row r="1264" spans="1:22" s="255" customFormat="1" ht="13.5" customHeight="1" outlineLevel="1">
      <c r="A1264" s="35"/>
      <c r="B1264" s="88" t="s">
        <v>330</v>
      </c>
      <c r="C1264" s="38"/>
      <c r="D1264" s="38"/>
      <c r="E1264" s="38"/>
      <c r="F1264" s="38"/>
      <c r="G1264" s="540">
        <v>0</v>
      </c>
      <c r="H1264" s="540">
        <v>0</v>
      </c>
      <c r="I1264" s="540">
        <v>0</v>
      </c>
      <c r="J1264" s="260">
        <f ca="1">J1285-SUM(J1251:J1263)-J1265-J1267</f>
        <v>491.92768693147792</v>
      </c>
      <c r="K1264" s="260">
        <f ca="1">K1285-SUM(K1251:K1263)-K1265-K1267</f>
        <v>482.08581193147796</v>
      </c>
      <c r="L1264" s="260">
        <f ca="1">L1285-SUM(L1251:L1263)-L1265-L1267</f>
        <v>520.71831193147796</v>
      </c>
      <c r="M1264" s="311">
        <f t="shared" ca="1" si="1398"/>
        <v>520.71831193147796</v>
      </c>
      <c r="P1264" s="370"/>
      <c r="Q1264" s="370"/>
      <c r="R1264" s="371"/>
      <c r="S1264" s="371"/>
      <c r="T1264" s="371"/>
      <c r="U1264" s="371"/>
      <c r="V1264" s="371"/>
    </row>
    <row r="1265" spans="1:22" s="255" customFormat="1" ht="13.5" customHeight="1" outlineLevel="1">
      <c r="A1265" s="35"/>
      <c r="B1265" s="88" t="s">
        <v>416</v>
      </c>
      <c r="C1265" s="38"/>
      <c r="D1265" s="38"/>
      <c r="E1265" s="38"/>
      <c r="F1265" s="38"/>
      <c r="G1265" s="540">
        <v>0</v>
      </c>
      <c r="H1265" s="540">
        <v>0</v>
      </c>
      <c r="I1265" s="540">
        <v>0</v>
      </c>
      <c r="J1265" s="540">
        <v>10</v>
      </c>
      <c r="K1265" s="540">
        <v>10</v>
      </c>
      <c r="L1265" s="540">
        <v>10</v>
      </c>
      <c r="M1265" s="311">
        <f t="shared" si="1398"/>
        <v>10</v>
      </c>
      <c r="P1265" s="370"/>
      <c r="Q1265" s="370"/>
      <c r="R1265" s="371"/>
      <c r="S1265" s="371"/>
      <c r="T1265" s="371"/>
      <c r="U1265" s="371"/>
      <c r="V1265" s="371"/>
    </row>
    <row r="1266" spans="1:22" s="255" customFormat="1" ht="13.5" customHeight="1" outlineLevel="1">
      <c r="A1266" s="35"/>
      <c r="B1266" s="138" t="s">
        <v>629</v>
      </c>
      <c r="C1266" s="52"/>
      <c r="D1266" s="52"/>
      <c r="E1266" s="52"/>
      <c r="F1266" s="52"/>
      <c r="G1266" s="373">
        <f>SUM(G1253:G1265)</f>
        <v>0</v>
      </c>
      <c r="H1266" s="373">
        <f t="shared" ref="H1266:M1266" si="1399">SUM(H1253:H1265)</f>
        <v>175</v>
      </c>
      <c r="I1266" s="373">
        <f t="shared" si="1399"/>
        <v>175</v>
      </c>
      <c r="J1266" s="373">
        <f t="shared" ca="1" si="1399"/>
        <v>736.92768693147787</v>
      </c>
      <c r="K1266" s="373">
        <f t="shared" ca="1" si="1399"/>
        <v>742.08581193147802</v>
      </c>
      <c r="L1266" s="373">
        <f t="shared" ca="1" si="1399"/>
        <v>740.71831193147796</v>
      </c>
      <c r="M1266" s="374">
        <f t="shared" ca="1" si="1399"/>
        <v>740.71831193147796</v>
      </c>
      <c r="P1266" s="370"/>
      <c r="Q1266" s="370"/>
      <c r="R1266" s="371"/>
      <c r="S1266" s="371"/>
      <c r="T1266" s="371"/>
      <c r="U1266" s="371"/>
      <c r="V1266" s="371"/>
    </row>
    <row r="1267" spans="1:22" s="255" customFormat="1" ht="13.5" customHeight="1" outlineLevel="1">
      <c r="A1267" s="35"/>
      <c r="B1267" s="62" t="s">
        <v>620</v>
      </c>
      <c r="C1267" s="38"/>
      <c r="D1267" s="38"/>
      <c r="E1267" s="38"/>
      <c r="F1267" s="38"/>
      <c r="G1267" s="170">
        <f t="shared" ref="G1267:L1267" si="1400">SUM(G1276:G1277,G1284)*tax</f>
        <v>0</v>
      </c>
      <c r="H1267" s="170">
        <f t="shared" ca="1" si="1400"/>
        <v>5.7662500000000003</v>
      </c>
      <c r="I1267" s="170">
        <f t="shared" ca="1" si="1400"/>
        <v>5.8100000000000005</v>
      </c>
      <c r="J1267" s="170">
        <f t="shared" ca="1" si="1400"/>
        <v>10.291542909374998</v>
      </c>
      <c r="K1267" s="170">
        <f t="shared" ca="1" si="1400"/>
        <v>10.645917909374999</v>
      </c>
      <c r="L1267" s="170">
        <f t="shared" ca="1" si="1400"/>
        <v>10.313417909374998</v>
      </c>
      <c r="M1267" s="375">
        <f ca="1">CHOOSE(M$1244,G1267,H1267,I1267,J1267,K1267,L1267)</f>
        <v>10.313417909374998</v>
      </c>
      <c r="P1267" s="370"/>
      <c r="Q1267" s="370"/>
      <c r="R1267" s="371"/>
      <c r="S1267" s="371"/>
      <c r="T1267" s="371"/>
      <c r="U1267" s="371"/>
      <c r="V1267" s="371"/>
    </row>
    <row r="1268" spans="1:22" s="255" customFormat="1" ht="13.5" customHeight="1" outlineLevel="1">
      <c r="A1268" s="35"/>
      <c r="B1268" s="221" t="s">
        <v>341</v>
      </c>
      <c r="C1268" s="141"/>
      <c r="D1268" s="141"/>
      <c r="E1268" s="141"/>
      <c r="F1268" s="141"/>
      <c r="G1268" s="376">
        <f t="shared" ref="G1268:M1268" si="1401">SUM(G1251:G1252,G1266:G1267)</f>
        <v>0</v>
      </c>
      <c r="H1268" s="376">
        <f t="shared" ca="1" si="1401"/>
        <v>262.954593471647</v>
      </c>
      <c r="I1268" s="376">
        <f t="shared" ca="1" si="1401"/>
        <v>262.99834347164699</v>
      </c>
      <c r="J1268" s="376">
        <f t="shared" ca="1" si="1401"/>
        <v>843.46703331249989</v>
      </c>
      <c r="K1268" s="376">
        <f t="shared" ca="1" si="1401"/>
        <v>848.97953331250005</v>
      </c>
      <c r="L1268" s="376">
        <f t="shared" ca="1" si="1401"/>
        <v>847.27953331249989</v>
      </c>
      <c r="M1268" s="377">
        <f t="shared" ca="1" si="1401"/>
        <v>847.27953331249989</v>
      </c>
      <c r="P1268" s="370"/>
      <c r="Q1268" s="370"/>
      <c r="R1268" s="371"/>
      <c r="S1268" s="371"/>
      <c r="T1268" s="371"/>
      <c r="U1268" s="371"/>
      <c r="V1268" s="371"/>
    </row>
    <row r="1269" spans="1:22" s="255" customFormat="1" ht="13.5" customHeight="1" outlineLevel="1">
      <c r="A1269" s="35"/>
      <c r="B1269" s="38"/>
      <c r="C1269" s="38"/>
      <c r="D1269" s="38"/>
      <c r="E1269" s="38"/>
      <c r="F1269" s="263"/>
      <c r="G1269" s="378"/>
      <c r="H1269" s="368"/>
      <c r="I1269" s="368"/>
      <c r="J1269" s="368"/>
      <c r="K1269" s="368"/>
      <c r="L1269" s="378"/>
      <c r="M1269" s="379"/>
      <c r="P1269" s="370"/>
      <c r="Q1269" s="370"/>
      <c r="R1269" s="371"/>
      <c r="S1269" s="371"/>
      <c r="T1269" s="371"/>
      <c r="U1269" s="371"/>
      <c r="V1269" s="371"/>
    </row>
    <row r="1270" spans="1:22" ht="13.5" customHeight="1" outlineLevel="1">
      <c r="B1270" s="46" t="s">
        <v>53</v>
      </c>
      <c r="C1270" s="47"/>
      <c r="D1270" s="47"/>
      <c r="E1270" s="47"/>
      <c r="F1270" s="47"/>
      <c r="G1270" s="47"/>
      <c r="H1270" s="47"/>
      <c r="I1270" s="47"/>
      <c r="J1270" s="47"/>
      <c r="K1270" s="47"/>
      <c r="L1270" s="47"/>
      <c r="M1270" s="48"/>
      <c r="P1270" s="289"/>
      <c r="Q1270" s="289"/>
    </row>
    <row r="1271" spans="1:22" s="255" customFormat="1" ht="5.0999999999999996" customHeight="1" outlineLevel="1">
      <c r="A1271" s="35"/>
      <c r="B1271" s="35"/>
      <c r="C1271" s="38"/>
      <c r="D1271" s="38"/>
      <c r="E1271" s="38"/>
      <c r="F1271" s="38"/>
      <c r="G1271" s="38"/>
      <c r="H1271" s="368"/>
      <c r="I1271" s="368"/>
      <c r="J1271" s="368"/>
      <c r="K1271" s="368"/>
      <c r="L1271" s="38"/>
      <c r="M1271" s="223"/>
      <c r="P1271" s="370"/>
      <c r="Q1271" s="370"/>
      <c r="R1271" s="371"/>
      <c r="S1271" s="371"/>
      <c r="T1271" s="371"/>
      <c r="U1271" s="371"/>
      <c r="V1271" s="371"/>
    </row>
    <row r="1272" spans="1:22" s="255" customFormat="1" ht="13.5" customHeight="1" outlineLevel="1">
      <c r="A1272" s="35"/>
      <c r="B1272" s="62" t="s">
        <v>113</v>
      </c>
      <c r="C1272" s="38"/>
      <c r="D1272" s="38"/>
      <c r="E1272" s="38"/>
      <c r="F1272" s="38"/>
      <c r="G1272" s="539">
        <v>0</v>
      </c>
      <c r="H1272" s="68">
        <f>IF(H1246,$P$19,0)</f>
        <v>0</v>
      </c>
      <c r="I1272" s="68">
        <f>IF(I1246,$P$19,0)</f>
        <v>0</v>
      </c>
      <c r="J1272" s="68">
        <f ca="1">IF(J1246,$P$19,0)</f>
        <v>579.81262499999991</v>
      </c>
      <c r="K1272" s="68">
        <f ca="1">IF(K1246,$P$19,0)</f>
        <v>579.81262499999991</v>
      </c>
      <c r="L1272" s="68">
        <f ca="1">IF(L1246,$P$19,0)</f>
        <v>579.81262499999991</v>
      </c>
      <c r="M1272" s="366">
        <f ca="1">CHOOSE(M$1244,G1272,H1272,I1272,J1272,K1272,L1272)</f>
        <v>579.81262499999991</v>
      </c>
      <c r="P1272" s="370"/>
      <c r="Q1272" s="370"/>
      <c r="R1272" s="371"/>
      <c r="S1272" s="371"/>
      <c r="T1272" s="371"/>
      <c r="U1272" s="371"/>
      <c r="V1272" s="371"/>
    </row>
    <row r="1273" spans="1:22" s="255" customFormat="1" ht="13.5" customHeight="1" outlineLevel="1">
      <c r="A1273" s="35"/>
      <c r="B1273" s="62" t="str">
        <f>B1291&amp;" refinanced"</f>
        <v>Legacy debt refinanced</v>
      </c>
      <c r="C1273" s="38"/>
      <c r="D1273" s="38"/>
      <c r="E1273" s="38"/>
      <c r="F1273" s="38"/>
      <c r="G1273" s="540">
        <v>0</v>
      </c>
      <c r="H1273" s="170">
        <f ca="1">IF($M$1244=H$1244,$P1320-$T1320,H1273)</f>
        <v>230</v>
      </c>
      <c r="I1273" s="170">
        <f ca="1">IF($M$1244=I$1244,$P1320-$T1320,I1273)</f>
        <v>230</v>
      </c>
      <c r="J1273" s="170">
        <f ca="1">IF($M$1244=J$1244,$P1320-$T1320,J1273)</f>
        <v>230</v>
      </c>
      <c r="K1273" s="170">
        <f ca="1">IF($M$1244=K$1244,$P1320-$T1320,K1273)</f>
        <v>230</v>
      </c>
      <c r="L1273" s="170">
        <f>IF($M$1244=L$1244,$P1320-$T1320,L1273)</f>
        <v>230</v>
      </c>
      <c r="M1273" s="311">
        <f>CHOOSE(M$1244,G1273,H1273,I1273,J1273,K1273,L1273)</f>
        <v>230</v>
      </c>
      <c r="P1273" s="370"/>
      <c r="Q1273" s="370"/>
      <c r="R1273" s="371"/>
      <c r="S1273" s="371"/>
      <c r="T1273" s="371"/>
      <c r="U1273" s="371"/>
      <c r="V1273" s="371"/>
    </row>
    <row r="1274" spans="1:22" s="255" customFormat="1" ht="13.5" customHeight="1" outlineLevel="1">
      <c r="A1274" s="35"/>
      <c r="B1274" s="62" t="s">
        <v>344</v>
      </c>
      <c r="C1274" s="38"/>
      <c r="D1274" s="38"/>
      <c r="E1274" s="38"/>
      <c r="F1274" s="38"/>
      <c r="G1274" s="540">
        <v>0</v>
      </c>
      <c r="H1274" s="260">
        <f ca="1">H1268-H1273-SUM(H1275:H1277)-H1284</f>
        <v>13.979593471647</v>
      </c>
      <c r="I1274" s="260">
        <f ca="1">I1268-I1273-SUM(I1275:I1277)-I1284</f>
        <v>11.398343471646989</v>
      </c>
      <c r="J1274" s="540">
        <v>0</v>
      </c>
      <c r="K1274" s="540">
        <v>0</v>
      </c>
      <c r="L1274" s="540">
        <v>0</v>
      </c>
      <c r="M1274" s="311">
        <f t="shared" ref="M1274:M1283" si="1402">CHOOSE(M$1244,G1274,H1274,I1274,J1274,K1274,L1274)</f>
        <v>0</v>
      </c>
      <c r="N1274" s="380"/>
      <c r="P1274" s="370"/>
      <c r="Q1274" s="370"/>
      <c r="R1274" s="371"/>
      <c r="S1274" s="371"/>
      <c r="T1274" s="371"/>
      <c r="U1274" s="371"/>
      <c r="V1274" s="371"/>
    </row>
    <row r="1275" spans="1:22" s="255" customFormat="1" ht="13.5" customHeight="1" outlineLevel="1">
      <c r="A1275" s="35"/>
      <c r="B1275" s="62" t="s">
        <v>348</v>
      </c>
      <c r="C1275" s="38"/>
      <c r="D1275" s="38"/>
      <c r="E1275" s="38"/>
      <c r="F1275" s="38"/>
      <c r="G1275" s="540">
        <v>0</v>
      </c>
      <c r="H1275" s="170">
        <f>SUMPRODUCT(H1254:H1263,$O$1302:$O$1311)</f>
        <v>2.5</v>
      </c>
      <c r="I1275" s="170">
        <f>SUMPRODUCT(I1254:I1263,$O$1302:$O$1311)</f>
        <v>5</v>
      </c>
      <c r="J1275" s="170">
        <f>SUMPRODUCT(J1254:J1263,$O$1302:$O$1311)</f>
        <v>4.25</v>
      </c>
      <c r="K1275" s="170">
        <f>SUMPRODUCT(K1254:K1263,$O$1302:$O$1311)</f>
        <v>8.75</v>
      </c>
      <c r="L1275" s="170">
        <f>SUMPRODUCT(L1254:L1263,$O$1302:$O$1311)</f>
        <v>8</v>
      </c>
      <c r="M1275" s="311">
        <f t="shared" si="1402"/>
        <v>8</v>
      </c>
      <c r="P1275" s="370"/>
      <c r="Q1275" s="370"/>
      <c r="R1275" s="371"/>
      <c r="S1275" s="371"/>
      <c r="T1275" s="371"/>
      <c r="U1275" s="371"/>
      <c r="V1275" s="371"/>
    </row>
    <row r="1276" spans="1:22" s="255" customFormat="1" ht="13.5" customHeight="1" outlineLevel="1">
      <c r="A1276" s="35"/>
      <c r="B1276" s="62" t="s">
        <v>346</v>
      </c>
      <c r="C1276" s="38"/>
      <c r="D1276" s="38"/>
      <c r="E1276" s="38"/>
      <c r="F1276" s="38"/>
      <c r="G1276" s="540">
        <v>0</v>
      </c>
      <c r="H1276" s="170">
        <f ca="1">IF($M$1244=H$1244,$S1320,H1276)</f>
        <v>4.6000000000000005</v>
      </c>
      <c r="I1276" s="170">
        <f ca="1">IF($M$1244=I$1244,$S1320,I1276)</f>
        <v>4.6000000000000005</v>
      </c>
      <c r="J1276" s="170">
        <f ca="1">IF($M$1244=J$1244,$S1320,J1276)</f>
        <v>4.6000000000000005</v>
      </c>
      <c r="K1276" s="170">
        <f ca="1">IF($M$1244=K$1244,$S1320,K1276)</f>
        <v>4.6000000000000005</v>
      </c>
      <c r="L1276" s="170">
        <f>IF($M$1244=L$1244,$S1320,L1276)</f>
        <v>4.6000000000000005</v>
      </c>
      <c r="M1276" s="311">
        <f t="shared" si="1402"/>
        <v>4.6000000000000005</v>
      </c>
      <c r="P1276" s="370"/>
      <c r="Q1276" s="370"/>
      <c r="R1276" s="371"/>
      <c r="S1276" s="371"/>
      <c r="T1276" s="371"/>
      <c r="U1276" s="371"/>
      <c r="V1276" s="371"/>
    </row>
    <row r="1277" spans="1:22" s="255" customFormat="1" ht="13.5" customHeight="1" outlineLevel="1">
      <c r="A1277" s="35"/>
      <c r="B1277" s="38" t="s">
        <v>617</v>
      </c>
      <c r="C1277" s="38"/>
      <c r="D1277" s="38"/>
      <c r="E1277" s="38"/>
      <c r="F1277" s="38"/>
      <c r="G1277" s="540">
        <v>0</v>
      </c>
      <c r="H1277" s="170">
        <f>SUMPRODUCT(H1254:H1263,$I$1302:$I$1311)+H1247*$I$1301</f>
        <v>5.375</v>
      </c>
      <c r="I1277" s="170">
        <f>SUMPRODUCT(I1254:I1263,$I$1302:$I$1311)+I1247*$I$1301</f>
        <v>5.5</v>
      </c>
      <c r="J1277" s="170">
        <f>SUMPRODUCT(J1254:J1263,$I$1302:$I$1311)+J1247*$I$1301</f>
        <v>6.7374999999999998</v>
      </c>
      <c r="K1277" s="170">
        <f>SUMPRODUCT(K1254:K1263,$I$1302:$I$1311)+K1247*$I$1301</f>
        <v>7.75</v>
      </c>
      <c r="L1277" s="170">
        <f>SUMPRODUCT(L1254:L1263,$I$1302:$I$1311)+L1247*$I$1301</f>
        <v>6.8</v>
      </c>
      <c r="M1277" s="311">
        <f t="shared" si="1402"/>
        <v>6.8</v>
      </c>
      <c r="P1277" s="370"/>
      <c r="Q1277" s="370"/>
      <c r="R1277" s="371"/>
      <c r="S1277" s="371"/>
      <c r="T1277" s="371"/>
      <c r="U1277" s="371"/>
      <c r="V1277" s="371"/>
    </row>
    <row r="1278" spans="1:22" s="255" customFormat="1" ht="13.5" customHeight="1" outlineLevel="1">
      <c r="A1278" s="35"/>
      <c r="B1278" s="88" t="s">
        <v>633</v>
      </c>
      <c r="C1278" s="38"/>
      <c r="D1278" s="541">
        <v>0.01</v>
      </c>
      <c r="E1278" s="38"/>
      <c r="G1278" s="540">
        <v>0</v>
      </c>
      <c r="H1278" s="170">
        <f t="shared" ref="H1278:L1279" si="1403">H$1272*$D1278</f>
        <v>0</v>
      </c>
      <c r="I1278" s="170">
        <f t="shared" si="1403"/>
        <v>0</v>
      </c>
      <c r="J1278" s="170">
        <f t="shared" ca="1" si="1403"/>
        <v>5.7981262499999993</v>
      </c>
      <c r="K1278" s="170">
        <f t="shared" ca="1" si="1403"/>
        <v>5.7981262499999993</v>
      </c>
      <c r="L1278" s="170">
        <f t="shared" ca="1" si="1403"/>
        <v>5.7981262499999993</v>
      </c>
      <c r="M1278" s="311">
        <f t="shared" ca="1" si="1402"/>
        <v>5.7981262499999993</v>
      </c>
      <c r="P1278" s="370"/>
      <c r="Q1278" s="370"/>
      <c r="R1278" s="371"/>
      <c r="S1278" s="371"/>
      <c r="T1278" s="371"/>
      <c r="U1278" s="371"/>
      <c r="V1278" s="371"/>
    </row>
    <row r="1279" spans="1:22" s="255" customFormat="1" ht="13.5" customHeight="1" outlineLevel="1">
      <c r="A1279" s="35"/>
      <c r="B1279" s="88" t="s">
        <v>340</v>
      </c>
      <c r="C1279" s="38"/>
      <c r="D1279" s="541">
        <v>6.4999999999999997E-3</v>
      </c>
      <c r="E1279" s="38"/>
      <c r="G1279" s="540">
        <v>0</v>
      </c>
      <c r="H1279" s="170">
        <f t="shared" si="1403"/>
        <v>0</v>
      </c>
      <c r="I1279" s="170">
        <f t="shared" si="1403"/>
        <v>0</v>
      </c>
      <c r="J1279" s="170">
        <f t="shared" ca="1" si="1403"/>
        <v>3.7687820624999993</v>
      </c>
      <c r="K1279" s="170">
        <f t="shared" ca="1" si="1403"/>
        <v>3.7687820624999993</v>
      </c>
      <c r="L1279" s="170">
        <f t="shared" ca="1" si="1403"/>
        <v>3.7687820624999993</v>
      </c>
      <c r="M1279" s="311">
        <f t="shared" ca="1" si="1402"/>
        <v>3.7687820624999993</v>
      </c>
      <c r="P1279" s="370"/>
      <c r="Q1279" s="370"/>
      <c r="R1279" s="371"/>
      <c r="S1279" s="371"/>
      <c r="T1279" s="371"/>
      <c r="U1279" s="371"/>
      <c r="V1279" s="371"/>
    </row>
    <row r="1280" spans="1:22" s="255" customFormat="1" ht="13.5" customHeight="1" outlineLevel="1">
      <c r="A1280" s="35"/>
      <c r="B1280" s="88" t="s">
        <v>634</v>
      </c>
      <c r="C1280" s="35"/>
      <c r="D1280" s="35"/>
      <c r="E1280" s="35"/>
      <c r="F1280" s="35"/>
      <c r="G1280" s="540">
        <v>0</v>
      </c>
      <c r="H1280" s="540">
        <v>2.5</v>
      </c>
      <c r="I1280" s="540">
        <v>2.5</v>
      </c>
      <c r="J1280" s="540">
        <v>3</v>
      </c>
      <c r="K1280" s="540">
        <v>3</v>
      </c>
      <c r="L1280" s="540">
        <v>3</v>
      </c>
      <c r="M1280" s="311">
        <f t="shared" si="1402"/>
        <v>3</v>
      </c>
      <c r="P1280" s="370"/>
      <c r="Q1280" s="370"/>
      <c r="R1280" s="371"/>
      <c r="S1280" s="371"/>
      <c r="T1280" s="371"/>
      <c r="U1280" s="371"/>
      <c r="V1280" s="371"/>
    </row>
    <row r="1281" spans="1:22" s="255" customFormat="1" ht="13.5" customHeight="1" outlineLevel="1">
      <c r="A1281" s="35"/>
      <c r="B1281" s="88" t="s">
        <v>635</v>
      </c>
      <c r="C1281" s="35"/>
      <c r="D1281" s="35"/>
      <c r="E1281" s="35"/>
      <c r="F1281" s="35"/>
      <c r="G1281" s="540">
        <v>0</v>
      </c>
      <c r="H1281" s="540">
        <v>2</v>
      </c>
      <c r="I1281" s="540">
        <v>2</v>
      </c>
      <c r="J1281" s="540">
        <v>2.5</v>
      </c>
      <c r="K1281" s="540">
        <v>2.5</v>
      </c>
      <c r="L1281" s="540">
        <v>2.5</v>
      </c>
      <c r="M1281" s="311">
        <f t="shared" si="1402"/>
        <v>2.5</v>
      </c>
      <c r="P1281" s="370"/>
      <c r="Q1281" s="370"/>
      <c r="R1281" s="371"/>
      <c r="S1281" s="371"/>
      <c r="T1281" s="371"/>
      <c r="U1281" s="371"/>
      <c r="V1281" s="371"/>
    </row>
    <row r="1282" spans="1:22" s="255" customFormat="1" ht="13.5" customHeight="1" outlineLevel="1">
      <c r="A1282" s="35"/>
      <c r="B1282" s="88" t="s">
        <v>636</v>
      </c>
      <c r="C1282" s="35"/>
      <c r="D1282" s="35"/>
      <c r="E1282" s="35"/>
      <c r="F1282" s="35"/>
      <c r="G1282" s="540">
        <v>0</v>
      </c>
      <c r="H1282" s="540">
        <v>1</v>
      </c>
      <c r="I1282" s="540">
        <v>1</v>
      </c>
      <c r="J1282" s="540">
        <v>1</v>
      </c>
      <c r="K1282" s="540">
        <v>1</v>
      </c>
      <c r="L1282" s="540">
        <v>1</v>
      </c>
      <c r="M1282" s="311">
        <f t="shared" si="1402"/>
        <v>1</v>
      </c>
      <c r="P1282" s="370"/>
      <c r="Q1282" s="370"/>
      <c r="R1282" s="371"/>
      <c r="S1282" s="371"/>
      <c r="T1282" s="371"/>
      <c r="U1282" s="371"/>
      <c r="V1282" s="371"/>
    </row>
    <row r="1283" spans="1:22" s="255" customFormat="1" ht="13.5" customHeight="1" outlineLevel="1">
      <c r="A1283" s="35"/>
      <c r="B1283" s="88" t="s">
        <v>637</v>
      </c>
      <c r="C1283" s="35"/>
      <c r="D1283" s="35"/>
      <c r="E1283" s="35"/>
      <c r="F1283" s="35"/>
      <c r="G1283" s="540">
        <v>0</v>
      </c>
      <c r="H1283" s="540">
        <v>1</v>
      </c>
      <c r="I1283" s="540">
        <v>1</v>
      </c>
      <c r="J1283" s="540">
        <v>2</v>
      </c>
      <c r="K1283" s="540">
        <v>2</v>
      </c>
      <c r="L1283" s="540">
        <v>2</v>
      </c>
      <c r="M1283" s="311">
        <f t="shared" si="1402"/>
        <v>2</v>
      </c>
      <c r="P1283" s="370"/>
      <c r="Q1283" s="370"/>
      <c r="R1283" s="371"/>
      <c r="S1283" s="371"/>
      <c r="T1283" s="371"/>
      <c r="U1283" s="371"/>
      <c r="V1283" s="371"/>
    </row>
    <row r="1284" spans="1:22" s="255" customFormat="1" ht="13.5" customHeight="1" outlineLevel="1">
      <c r="A1284" s="35"/>
      <c r="B1284" s="243" t="s">
        <v>618</v>
      </c>
      <c r="C1284" s="243"/>
      <c r="D1284" s="243"/>
      <c r="E1284" s="243"/>
      <c r="F1284" s="243"/>
      <c r="G1284" s="381">
        <f>SUM(G1278:G1283)</f>
        <v>0</v>
      </c>
      <c r="H1284" s="381">
        <f t="shared" ref="H1284:M1284" si="1404">SUM(H1278:H1283)</f>
        <v>6.5</v>
      </c>
      <c r="I1284" s="381">
        <f t="shared" si="1404"/>
        <v>6.5</v>
      </c>
      <c r="J1284" s="381">
        <f t="shared" ca="1" si="1404"/>
        <v>18.066908312499997</v>
      </c>
      <c r="K1284" s="381">
        <f t="shared" ca="1" si="1404"/>
        <v>18.066908312499997</v>
      </c>
      <c r="L1284" s="381">
        <f t="shared" ca="1" si="1404"/>
        <v>18.066908312499997</v>
      </c>
      <c r="M1284" s="382">
        <f t="shared" ca="1" si="1404"/>
        <v>18.066908312499997</v>
      </c>
      <c r="P1284" s="370"/>
      <c r="Q1284" s="370"/>
      <c r="R1284" s="371"/>
      <c r="S1284" s="371"/>
      <c r="T1284" s="371"/>
      <c r="U1284" s="371"/>
      <c r="V1284" s="371"/>
    </row>
    <row r="1285" spans="1:22" s="255" customFormat="1" ht="13.5" customHeight="1" outlineLevel="1">
      <c r="A1285" s="35"/>
      <c r="B1285" s="221" t="s">
        <v>342</v>
      </c>
      <c r="C1285" s="221"/>
      <c r="D1285" s="221"/>
      <c r="E1285" s="221"/>
      <c r="F1285" s="141"/>
      <c r="G1285" s="376">
        <f>SUM(G1272:G1277,G1284)</f>
        <v>0</v>
      </c>
      <c r="H1285" s="376">
        <f t="shared" ref="H1285:M1285" ca="1" si="1405">SUM(H1272:H1277,H1284)</f>
        <v>262.954593471647</v>
      </c>
      <c r="I1285" s="376">
        <f t="shared" ca="1" si="1405"/>
        <v>262.99834347164699</v>
      </c>
      <c r="J1285" s="376">
        <f t="shared" ca="1" si="1405"/>
        <v>843.46703331249989</v>
      </c>
      <c r="K1285" s="376">
        <f t="shared" ca="1" si="1405"/>
        <v>848.97953331249994</v>
      </c>
      <c r="L1285" s="376">
        <f t="shared" ca="1" si="1405"/>
        <v>847.27953331249989</v>
      </c>
      <c r="M1285" s="377">
        <f t="shared" ca="1" si="1405"/>
        <v>847.27953331249989</v>
      </c>
      <c r="P1285" s="370"/>
      <c r="Q1285" s="370"/>
      <c r="R1285" s="371"/>
      <c r="S1285" s="371"/>
      <c r="T1285" s="371"/>
      <c r="U1285" s="371"/>
      <c r="V1285" s="371"/>
    </row>
    <row r="1286" spans="1:22" s="255" customFormat="1" ht="13.5" customHeight="1" outlineLevel="1">
      <c r="A1286" s="35"/>
      <c r="B1286" s="38"/>
      <c r="C1286" s="38"/>
      <c r="D1286" s="38"/>
      <c r="E1286" s="38"/>
      <c r="F1286" s="263"/>
      <c r="G1286" s="383"/>
      <c r="H1286" s="384"/>
      <c r="I1286" s="384"/>
      <c r="J1286" s="384"/>
      <c r="K1286" s="384"/>
      <c r="L1286" s="383"/>
      <c r="M1286" s="385"/>
      <c r="P1286" s="370"/>
      <c r="Q1286" s="370"/>
      <c r="R1286" s="371"/>
      <c r="S1286" s="371"/>
      <c r="T1286" s="371"/>
      <c r="U1286" s="371"/>
      <c r="V1286" s="371"/>
    </row>
    <row r="1287" spans="1:22" s="255" customFormat="1" ht="13.5" customHeight="1" outlineLevel="1">
      <c r="B1287" s="371" t="s">
        <v>205</v>
      </c>
      <c r="C1287" s="371"/>
      <c r="D1287" s="371"/>
      <c r="E1287" s="371"/>
      <c r="F1287" s="371"/>
      <c r="G1287" s="384">
        <f t="shared" ref="G1287:M1287" si="1406">G1285-G1268</f>
        <v>0</v>
      </c>
      <c r="H1287" s="384">
        <f t="shared" ca="1" si="1406"/>
        <v>0</v>
      </c>
      <c r="I1287" s="384">
        <f t="shared" ca="1" si="1406"/>
        <v>0</v>
      </c>
      <c r="J1287" s="384">
        <f t="shared" ca="1" si="1406"/>
        <v>0</v>
      </c>
      <c r="K1287" s="384">
        <f t="shared" ca="1" si="1406"/>
        <v>0</v>
      </c>
      <c r="L1287" s="384">
        <f t="shared" ca="1" si="1406"/>
        <v>0</v>
      </c>
      <c r="M1287" s="385">
        <f t="shared" ca="1" si="1406"/>
        <v>0</v>
      </c>
      <c r="P1287" s="370"/>
      <c r="Q1287" s="370"/>
      <c r="R1287" s="371"/>
      <c r="S1287" s="371"/>
      <c r="T1287" s="371"/>
      <c r="U1287" s="371"/>
      <c r="V1287" s="371"/>
    </row>
    <row r="1288" spans="1:22" s="255" customFormat="1" ht="13.5" customHeight="1" outlineLevel="1">
      <c r="A1288" s="35"/>
      <c r="B1288" s="38"/>
      <c r="C1288" s="38"/>
      <c r="D1288" s="38"/>
      <c r="E1288" s="38"/>
      <c r="F1288" s="263"/>
      <c r="G1288" s="383"/>
      <c r="H1288" s="384"/>
      <c r="I1288" s="384"/>
      <c r="J1288" s="384"/>
      <c r="K1288" s="384"/>
      <c r="L1288" s="383"/>
      <c r="M1288" s="386"/>
      <c r="P1288" s="370"/>
      <c r="Q1288" s="370"/>
      <c r="R1288" s="371"/>
      <c r="S1288" s="371"/>
      <c r="T1288" s="371"/>
      <c r="U1288" s="371"/>
      <c r="V1288" s="371"/>
    </row>
    <row r="1289" spans="1:22" ht="13.5" customHeight="1" outlineLevel="1">
      <c r="B1289" s="46" t="s">
        <v>624</v>
      </c>
      <c r="C1289" s="47"/>
      <c r="D1289" s="47"/>
      <c r="E1289" s="47"/>
      <c r="F1289" s="47"/>
      <c r="G1289" s="387"/>
      <c r="H1289" s="387"/>
      <c r="I1289" s="387"/>
      <c r="J1289" s="387"/>
      <c r="K1289" s="387"/>
      <c r="L1289" s="387"/>
      <c r="M1289" s="388"/>
      <c r="P1289" s="289"/>
      <c r="Q1289" s="289"/>
    </row>
    <row r="1290" spans="1:22" s="255" customFormat="1" ht="5.0999999999999996" customHeight="1" outlineLevel="1">
      <c r="A1290" s="35"/>
      <c r="B1290" s="35"/>
      <c r="C1290" s="38"/>
      <c r="D1290" s="38"/>
      <c r="E1290" s="38"/>
      <c r="F1290" s="38"/>
      <c r="G1290" s="148"/>
      <c r="H1290" s="384"/>
      <c r="I1290" s="384"/>
      <c r="J1290" s="384"/>
      <c r="K1290" s="384"/>
      <c r="L1290" s="148"/>
      <c r="M1290" s="389"/>
      <c r="P1290" s="370"/>
      <c r="Q1290" s="370"/>
      <c r="R1290" s="371"/>
      <c r="S1290" s="371"/>
      <c r="T1290" s="371"/>
      <c r="U1290" s="371"/>
      <c r="V1290" s="371"/>
    </row>
    <row r="1291" spans="1:22" s="255" customFormat="1" ht="13.5" customHeight="1" outlineLevel="1">
      <c r="A1291" s="35"/>
      <c r="B1291" s="112" t="s">
        <v>686</v>
      </c>
      <c r="C1291" s="38"/>
      <c r="D1291" s="38"/>
      <c r="E1291" s="38"/>
      <c r="F1291" s="263"/>
      <c r="G1291" s="538">
        <v>0</v>
      </c>
      <c r="H1291" s="538">
        <v>1</v>
      </c>
      <c r="I1291" s="538">
        <v>1</v>
      </c>
      <c r="J1291" s="538">
        <v>1</v>
      </c>
      <c r="K1291" s="538">
        <v>1</v>
      </c>
      <c r="L1291" s="538">
        <v>1</v>
      </c>
      <c r="M1291" s="367">
        <f>CHOOSE(M$1244,G1291,H1291,I1291,J1291,K1291,L1291)</f>
        <v>1</v>
      </c>
      <c r="P1291" s="370"/>
      <c r="Q1291" s="370"/>
      <c r="R1291" s="371"/>
      <c r="S1291" s="371"/>
      <c r="T1291" s="371"/>
      <c r="U1291" s="371"/>
      <c r="V1291" s="371"/>
    </row>
    <row r="1292" spans="1:22" s="255" customFormat="1" ht="13.5" customHeight="1" outlineLevel="1">
      <c r="A1292" s="35"/>
      <c r="R1292" s="371"/>
      <c r="S1292" s="371"/>
      <c r="T1292" s="371"/>
      <c r="U1292" s="371"/>
      <c r="V1292" s="371"/>
    </row>
    <row r="1293" spans="1:22" s="35" customFormat="1" ht="13.5" customHeight="1" outlineLevel="1">
      <c r="B1293" s="46" t="s">
        <v>564</v>
      </c>
      <c r="C1293" s="47"/>
      <c r="D1293" s="47"/>
      <c r="E1293" s="47"/>
      <c r="F1293" s="47"/>
      <c r="G1293" s="47"/>
      <c r="H1293" s="47"/>
      <c r="I1293" s="47"/>
      <c r="J1293" s="47"/>
      <c r="K1293" s="47"/>
      <c r="L1293" s="47"/>
      <c r="M1293" s="47"/>
      <c r="N1293" s="47"/>
      <c r="O1293" s="47"/>
      <c r="P1293" s="47"/>
      <c r="Q1293" s="47"/>
      <c r="R1293" s="47"/>
      <c r="S1293" s="47"/>
      <c r="T1293" s="48"/>
    </row>
    <row r="1294" spans="1:22" s="255" customFormat="1" ht="5.0999999999999996" customHeight="1" outlineLevel="1">
      <c r="A1294" s="35"/>
      <c r="O1294" s="371"/>
      <c r="P1294" s="371"/>
      <c r="Q1294" s="371"/>
      <c r="R1294" s="371"/>
      <c r="S1294" s="371"/>
      <c r="T1294" s="371"/>
    </row>
    <row r="1295" spans="1:22" ht="13.5" customHeight="1" outlineLevel="1">
      <c r="G1295" s="390"/>
      <c r="H1295" s="390"/>
      <c r="I1295" s="205" t="s">
        <v>525</v>
      </c>
      <c r="J1295" s="205"/>
      <c r="K1295" s="205"/>
      <c r="L1295" s="205"/>
      <c r="M1295" s="390"/>
      <c r="N1295" s="390"/>
      <c r="O1295" s="390"/>
      <c r="P1295" s="390"/>
      <c r="Q1295" s="390"/>
      <c r="R1295" s="390"/>
      <c r="S1295" s="390"/>
      <c r="T1295" s="390"/>
    </row>
    <row r="1296" spans="1:22" ht="13.5" customHeight="1" outlineLevel="1">
      <c r="B1296" s="45"/>
      <c r="G1296" s="205" t="s">
        <v>97</v>
      </c>
      <c r="H1296" s="205"/>
      <c r="I1296" s="391"/>
      <c r="J1296" s="49" t="s">
        <v>517</v>
      </c>
      <c r="K1296" s="49" t="s">
        <v>517</v>
      </c>
      <c r="L1296" s="49" t="s">
        <v>567</v>
      </c>
      <c r="M1296" s="205" t="s">
        <v>351</v>
      </c>
      <c r="N1296" s="205"/>
      <c r="O1296" s="205" t="s">
        <v>526</v>
      </c>
      <c r="P1296" s="205"/>
      <c r="Q1296" s="205" t="s">
        <v>632</v>
      </c>
      <c r="R1296" s="205"/>
      <c r="S1296" s="205" t="s">
        <v>527</v>
      </c>
      <c r="T1296" s="205"/>
    </row>
    <row r="1297" spans="2:20" ht="13.5" customHeight="1" outlineLevel="1">
      <c r="B1297" s="206"/>
      <c r="C1297" s="206"/>
      <c r="G1297" s="206" t="s">
        <v>419</v>
      </c>
      <c r="H1297" s="49" t="s">
        <v>48</v>
      </c>
      <c r="I1297" s="49" t="s">
        <v>24</v>
      </c>
      <c r="J1297" s="49" t="s">
        <v>522</v>
      </c>
      <c r="K1297" s="49" t="s">
        <v>524</v>
      </c>
      <c r="L1297" s="49" t="s">
        <v>568</v>
      </c>
      <c r="M1297" s="206" t="s">
        <v>499</v>
      </c>
      <c r="N1297" s="206" t="s">
        <v>353</v>
      </c>
      <c r="O1297" s="206" t="s">
        <v>36</v>
      </c>
      <c r="P1297" s="206" t="s">
        <v>352</v>
      </c>
      <c r="Q1297" s="206" t="s">
        <v>631</v>
      </c>
      <c r="R1297" s="206" t="s">
        <v>628</v>
      </c>
      <c r="S1297" s="206" t="s">
        <v>360</v>
      </c>
      <c r="T1297" s="49" t="s">
        <v>503</v>
      </c>
    </row>
    <row r="1298" spans="2:20" ht="13.5" customHeight="1" outlineLevel="1" thickBot="1">
      <c r="B1298" s="130" t="s">
        <v>529</v>
      </c>
      <c r="C1298" s="210"/>
      <c r="D1298" s="210"/>
      <c r="E1298" s="210"/>
      <c r="F1298" s="210"/>
      <c r="G1298" s="210" t="s">
        <v>420</v>
      </c>
      <c r="H1298" s="98" t="s">
        <v>502</v>
      </c>
      <c r="I1298" s="98" t="s">
        <v>518</v>
      </c>
      <c r="J1298" s="98" t="s">
        <v>523</v>
      </c>
      <c r="K1298" s="98" t="s">
        <v>520</v>
      </c>
      <c r="L1298" s="98" t="s">
        <v>519</v>
      </c>
      <c r="M1298" s="210" t="s">
        <v>500</v>
      </c>
      <c r="N1298" s="210" t="s">
        <v>350</v>
      </c>
      <c r="O1298" s="210" t="s">
        <v>605</v>
      </c>
      <c r="P1298" s="210" t="s">
        <v>565</v>
      </c>
      <c r="Q1298" s="210" t="s">
        <v>34</v>
      </c>
      <c r="R1298" s="210" t="s">
        <v>627</v>
      </c>
      <c r="S1298" s="210" t="s">
        <v>505</v>
      </c>
      <c r="T1298" s="98" t="s">
        <v>504</v>
      </c>
    </row>
    <row r="1299" spans="2:20" ht="5.0999999999999996" customHeight="1" outlineLevel="1"/>
    <row r="1300" spans="2:20" ht="13.5" customHeight="1" outlineLevel="1">
      <c r="B1300" s="38" t="str">
        <f>B1291</f>
        <v>Legacy debt</v>
      </c>
      <c r="G1300" s="538">
        <v>0</v>
      </c>
      <c r="H1300" s="538">
        <v>0</v>
      </c>
      <c r="I1300" s="532" t="s">
        <v>2</v>
      </c>
      <c r="J1300" s="540" t="s">
        <v>2</v>
      </c>
      <c r="K1300" s="507" t="s">
        <v>2</v>
      </c>
      <c r="L1300" s="507" t="s">
        <v>2</v>
      </c>
      <c r="M1300" s="532">
        <v>0.14249999999999999</v>
      </c>
      <c r="N1300" s="532">
        <v>0</v>
      </c>
      <c r="O1300" s="532">
        <v>0</v>
      </c>
      <c r="P1300" s="540">
        <v>4</v>
      </c>
      <c r="Q1300" s="528">
        <v>0</v>
      </c>
      <c r="R1300" s="540">
        <v>5</v>
      </c>
      <c r="S1300" s="528">
        <v>0</v>
      </c>
      <c r="T1300" s="542">
        <v>26.77</v>
      </c>
    </row>
    <row r="1301" spans="2:20" ht="13.5" customHeight="1" outlineLevel="1">
      <c r="B1301" s="38" t="s">
        <v>26</v>
      </c>
      <c r="G1301" s="512">
        <v>1</v>
      </c>
      <c r="H1301" s="512">
        <v>0</v>
      </c>
      <c r="I1301" s="532">
        <v>1.7500000000000002E-2</v>
      </c>
      <c r="J1301" s="540">
        <v>5</v>
      </c>
      <c r="K1301" s="296">
        <f>revolver*I1301</f>
        <v>1.7500000000000002</v>
      </c>
      <c r="L1301" s="507" t="s">
        <v>2</v>
      </c>
      <c r="M1301" s="532">
        <v>0</v>
      </c>
      <c r="N1301" s="532">
        <v>4.2500000000000003E-2</v>
      </c>
      <c r="O1301" s="517">
        <v>0</v>
      </c>
      <c r="P1301" s="519" t="s">
        <v>2</v>
      </c>
      <c r="Q1301" s="505">
        <v>0</v>
      </c>
      <c r="R1301" s="519" t="s">
        <v>2</v>
      </c>
      <c r="S1301" s="505">
        <v>1</v>
      </c>
      <c r="T1301" s="522">
        <v>0</v>
      </c>
    </row>
    <row r="1302" spans="2:20" ht="13.5" customHeight="1" outlineLevel="1">
      <c r="B1302" s="392" t="str">
        <f t="shared" ref="B1302:B1311" si="1407">B1254</f>
        <v>Term loan - A</v>
      </c>
      <c r="G1302" s="538">
        <v>1</v>
      </c>
      <c r="H1302" s="538">
        <v>0</v>
      </c>
      <c r="I1302" s="532">
        <v>0.02</v>
      </c>
      <c r="J1302" s="540">
        <v>5</v>
      </c>
      <c r="K1302" s="68">
        <f t="shared" ref="K1302:K1311" si="1408">(1-H1302)*M1254*I1302</f>
        <v>1</v>
      </c>
      <c r="L1302" s="68">
        <f t="shared" ref="L1302:L1311" si="1409">H1302*M1254*I1302</f>
        <v>0</v>
      </c>
      <c r="M1302" s="532">
        <v>0</v>
      </c>
      <c r="N1302" s="532">
        <v>4.7899999999999998E-2</v>
      </c>
      <c r="O1302" s="532">
        <v>0</v>
      </c>
      <c r="P1302" s="540">
        <v>4</v>
      </c>
      <c r="Q1302" s="528">
        <f>1/5</f>
        <v>0.2</v>
      </c>
      <c r="R1302" s="540">
        <v>5</v>
      </c>
      <c r="S1302" s="528">
        <v>1</v>
      </c>
      <c r="T1302" s="542">
        <v>0</v>
      </c>
    </row>
    <row r="1303" spans="2:20" ht="13.5" customHeight="1" outlineLevel="1">
      <c r="B1303" s="392" t="str">
        <f t="shared" si="1407"/>
        <v>Term loan - B</v>
      </c>
      <c r="G1303" s="538">
        <v>1</v>
      </c>
      <c r="H1303" s="538">
        <v>0</v>
      </c>
      <c r="I1303" s="532">
        <v>0.02</v>
      </c>
      <c r="J1303" s="540">
        <v>5</v>
      </c>
      <c r="K1303" s="68">
        <f t="shared" si="1408"/>
        <v>0</v>
      </c>
      <c r="L1303" s="68">
        <f t="shared" si="1409"/>
        <v>0</v>
      </c>
      <c r="M1303" s="532">
        <v>0</v>
      </c>
      <c r="N1303" s="532">
        <v>0.06</v>
      </c>
      <c r="O1303" s="532">
        <v>0</v>
      </c>
      <c r="P1303" s="540">
        <v>4</v>
      </c>
      <c r="Q1303" s="528">
        <v>0.05</v>
      </c>
      <c r="R1303" s="540">
        <v>6</v>
      </c>
      <c r="S1303" s="528">
        <v>1</v>
      </c>
      <c r="T1303" s="542">
        <v>0</v>
      </c>
    </row>
    <row r="1304" spans="2:20" ht="13.5" customHeight="1" outlineLevel="1">
      <c r="B1304" s="392" t="str">
        <f t="shared" si="1407"/>
        <v>Senior note</v>
      </c>
      <c r="G1304" s="538">
        <v>1</v>
      </c>
      <c r="H1304" s="538">
        <v>0</v>
      </c>
      <c r="I1304" s="532">
        <v>2.2499999999999999E-2</v>
      </c>
      <c r="J1304" s="540">
        <v>7</v>
      </c>
      <c r="K1304" s="68">
        <f t="shared" si="1408"/>
        <v>2.25</v>
      </c>
      <c r="L1304" s="68">
        <f t="shared" si="1409"/>
        <v>0</v>
      </c>
      <c r="M1304" s="532">
        <v>0</v>
      </c>
      <c r="N1304" s="532">
        <v>6.5000000000000002E-2</v>
      </c>
      <c r="O1304" s="532">
        <v>0.05</v>
      </c>
      <c r="P1304" s="540">
        <v>4</v>
      </c>
      <c r="Q1304" s="528">
        <v>0</v>
      </c>
      <c r="R1304" s="540">
        <v>8</v>
      </c>
      <c r="S1304" s="528">
        <v>0</v>
      </c>
      <c r="T1304" s="542">
        <v>0</v>
      </c>
    </row>
    <row r="1305" spans="2:20" ht="13.5" customHeight="1" outlineLevel="1">
      <c r="B1305" s="392" t="str">
        <f t="shared" si="1407"/>
        <v>Subordinated note</v>
      </c>
      <c r="G1305" s="538">
        <v>0</v>
      </c>
      <c r="H1305" s="538">
        <v>0</v>
      </c>
      <c r="I1305" s="532">
        <v>0.03</v>
      </c>
      <c r="J1305" s="540">
        <v>7</v>
      </c>
      <c r="K1305" s="68">
        <f t="shared" si="1408"/>
        <v>1.5</v>
      </c>
      <c r="L1305" s="68">
        <f t="shared" si="1409"/>
        <v>0</v>
      </c>
      <c r="M1305" s="532">
        <v>0.10249999999999999</v>
      </c>
      <c r="N1305" s="532">
        <v>0</v>
      </c>
      <c r="O1305" s="532">
        <v>0.05</v>
      </c>
      <c r="P1305" s="540">
        <v>4</v>
      </c>
      <c r="Q1305" s="528">
        <v>0</v>
      </c>
      <c r="R1305" s="540">
        <v>6</v>
      </c>
      <c r="S1305" s="528">
        <v>0</v>
      </c>
      <c r="T1305" s="542">
        <v>0</v>
      </c>
    </row>
    <row r="1306" spans="2:20" ht="13.5" customHeight="1" outlineLevel="1">
      <c r="B1306" s="392" t="str">
        <f t="shared" si="1407"/>
        <v>Mezzanine</v>
      </c>
      <c r="G1306" s="538">
        <v>0</v>
      </c>
      <c r="H1306" s="538">
        <v>0</v>
      </c>
      <c r="I1306" s="532">
        <v>0.03</v>
      </c>
      <c r="J1306" s="540">
        <v>7</v>
      </c>
      <c r="K1306" s="68">
        <f t="shared" si="1408"/>
        <v>0</v>
      </c>
      <c r="L1306" s="68">
        <f t="shared" si="1409"/>
        <v>0</v>
      </c>
      <c r="M1306" s="532">
        <v>0.105</v>
      </c>
      <c r="N1306" s="532">
        <v>0</v>
      </c>
      <c r="O1306" s="532">
        <v>0.05</v>
      </c>
      <c r="P1306" s="540">
        <v>4</v>
      </c>
      <c r="Q1306" s="528">
        <v>0</v>
      </c>
      <c r="R1306" s="540">
        <v>1</v>
      </c>
      <c r="S1306" s="528">
        <v>0</v>
      </c>
      <c r="T1306" s="542">
        <v>0</v>
      </c>
    </row>
    <row r="1307" spans="2:20" ht="13.5" customHeight="1" outlineLevel="1">
      <c r="B1307" s="392" t="str">
        <f t="shared" si="1407"/>
        <v>Seller note</v>
      </c>
      <c r="G1307" s="538">
        <v>0</v>
      </c>
      <c r="H1307" s="538">
        <v>0</v>
      </c>
      <c r="I1307" s="532">
        <v>0.03</v>
      </c>
      <c r="J1307" s="540">
        <v>7</v>
      </c>
      <c r="K1307" s="68">
        <f t="shared" si="1408"/>
        <v>0</v>
      </c>
      <c r="L1307" s="68">
        <f t="shared" si="1409"/>
        <v>0</v>
      </c>
      <c r="M1307" s="532">
        <v>0.105</v>
      </c>
      <c r="N1307" s="532">
        <v>0</v>
      </c>
      <c r="O1307" s="532">
        <v>0.05</v>
      </c>
      <c r="P1307" s="540">
        <v>4</v>
      </c>
      <c r="Q1307" s="528">
        <v>0</v>
      </c>
      <c r="R1307" s="540">
        <v>3</v>
      </c>
      <c r="S1307" s="528">
        <v>0</v>
      </c>
      <c r="T1307" s="542">
        <v>0</v>
      </c>
    </row>
    <row r="1308" spans="2:20" ht="13.5" customHeight="1" outlineLevel="1">
      <c r="B1308" s="392" t="str">
        <f t="shared" si="1407"/>
        <v>Convertible bond</v>
      </c>
      <c r="G1308" s="538">
        <v>0</v>
      </c>
      <c r="H1308" s="538">
        <v>0</v>
      </c>
      <c r="I1308" s="532">
        <v>0.03</v>
      </c>
      <c r="J1308" s="540">
        <v>7</v>
      </c>
      <c r="K1308" s="68">
        <f t="shared" si="1408"/>
        <v>0</v>
      </c>
      <c r="L1308" s="68">
        <f t="shared" si="1409"/>
        <v>0</v>
      </c>
      <c r="M1308" s="532">
        <v>0.11</v>
      </c>
      <c r="N1308" s="532">
        <v>0</v>
      </c>
      <c r="O1308" s="532">
        <v>0</v>
      </c>
      <c r="P1308" s="540">
        <v>4</v>
      </c>
      <c r="Q1308" s="528">
        <v>0</v>
      </c>
      <c r="R1308" s="540">
        <v>3</v>
      </c>
      <c r="S1308" s="528">
        <v>0</v>
      </c>
      <c r="T1308" s="542">
        <v>0</v>
      </c>
    </row>
    <row r="1309" spans="2:20" ht="13.5" customHeight="1" outlineLevel="1">
      <c r="B1309" s="392" t="str">
        <f t="shared" si="1407"/>
        <v>[Debt 8]</v>
      </c>
      <c r="G1309" s="538">
        <v>0</v>
      </c>
      <c r="H1309" s="538">
        <v>0</v>
      </c>
      <c r="I1309" s="532">
        <v>0.03</v>
      </c>
      <c r="J1309" s="540">
        <v>7</v>
      </c>
      <c r="K1309" s="68">
        <f t="shared" si="1408"/>
        <v>0</v>
      </c>
      <c r="L1309" s="68">
        <f t="shared" si="1409"/>
        <v>0</v>
      </c>
      <c r="M1309" s="532">
        <v>0</v>
      </c>
      <c r="N1309" s="532">
        <v>0</v>
      </c>
      <c r="O1309" s="532">
        <v>0</v>
      </c>
      <c r="P1309" s="540">
        <v>4</v>
      </c>
      <c r="Q1309" s="528">
        <v>0</v>
      </c>
      <c r="R1309" s="540">
        <v>3</v>
      </c>
      <c r="S1309" s="528">
        <v>0</v>
      </c>
      <c r="T1309" s="542">
        <v>0</v>
      </c>
    </row>
    <row r="1310" spans="2:20" ht="13.5" customHeight="1" outlineLevel="1">
      <c r="B1310" s="392" t="str">
        <f t="shared" si="1407"/>
        <v>Preferred stock - A</v>
      </c>
      <c r="G1310" s="538">
        <v>0</v>
      </c>
      <c r="H1310" s="538">
        <v>1</v>
      </c>
      <c r="I1310" s="532">
        <v>0.03</v>
      </c>
      <c r="J1310" s="372" t="s">
        <v>2</v>
      </c>
      <c r="K1310" s="68">
        <f t="shared" si="1408"/>
        <v>0</v>
      </c>
      <c r="L1310" s="68">
        <f t="shared" si="1409"/>
        <v>0.3</v>
      </c>
      <c r="M1310" s="532">
        <v>0.12</v>
      </c>
      <c r="N1310" s="532">
        <v>0</v>
      </c>
      <c r="O1310" s="532">
        <v>0.05</v>
      </c>
      <c r="P1310" s="540">
        <v>4</v>
      </c>
      <c r="Q1310" s="528">
        <v>0</v>
      </c>
      <c r="R1310" s="372" t="s">
        <v>2</v>
      </c>
      <c r="S1310" s="528">
        <v>0</v>
      </c>
      <c r="T1310" s="542">
        <v>0</v>
      </c>
    </row>
    <row r="1311" spans="2:20" ht="13.5" customHeight="1" outlineLevel="1">
      <c r="B1311" s="392" t="str">
        <f t="shared" si="1407"/>
        <v>Preferred stock - B</v>
      </c>
      <c r="G1311" s="538">
        <v>0</v>
      </c>
      <c r="H1311" s="538">
        <v>1</v>
      </c>
      <c r="I1311" s="532">
        <v>0.03</v>
      </c>
      <c r="J1311" s="372" t="s">
        <v>2</v>
      </c>
      <c r="K1311" s="68">
        <f t="shared" si="1408"/>
        <v>0</v>
      </c>
      <c r="L1311" s="68">
        <f t="shared" si="1409"/>
        <v>0</v>
      </c>
      <c r="M1311" s="532">
        <v>0.125</v>
      </c>
      <c r="N1311" s="532">
        <v>0</v>
      </c>
      <c r="O1311" s="532">
        <v>0</v>
      </c>
      <c r="P1311" s="540">
        <v>4</v>
      </c>
      <c r="Q1311" s="528">
        <v>0</v>
      </c>
      <c r="R1311" s="372" t="s">
        <v>2</v>
      </c>
      <c r="S1311" s="528">
        <v>0</v>
      </c>
      <c r="T1311" s="542">
        <v>0</v>
      </c>
    </row>
    <row r="1312" spans="2:20" ht="13.5" customHeight="1" outlineLevel="1">
      <c r="B1312" s="52" t="s">
        <v>19</v>
      </c>
      <c r="C1312" s="52"/>
      <c r="D1312" s="52"/>
      <c r="E1312" s="52"/>
      <c r="F1312" s="52"/>
      <c r="G1312" s="174"/>
      <c r="H1312" s="318"/>
      <c r="I1312" s="174"/>
      <c r="J1312" s="174"/>
      <c r="K1312" s="318">
        <f>SUM(K1300:K1311)</f>
        <v>6.5</v>
      </c>
      <c r="L1312" s="318">
        <f>SUM(L1300:L1311)</f>
        <v>0.3</v>
      </c>
      <c r="M1312" s="318"/>
      <c r="N1312" s="318"/>
      <c r="O1312" s="318"/>
      <c r="P1312" s="318"/>
      <c r="Q1312" s="318"/>
      <c r="R1312" s="318"/>
      <c r="S1312" s="318"/>
      <c r="T1312" s="318"/>
    </row>
    <row r="1313" spans="1:22" s="255" customFormat="1" ht="13.5" customHeight="1" outlineLevel="1">
      <c r="A1313" s="35"/>
      <c r="T1313" s="371"/>
      <c r="U1313" s="371"/>
      <c r="V1313" s="371"/>
    </row>
    <row r="1314" spans="1:22" s="35" customFormat="1" ht="13.5" customHeight="1" outlineLevel="1">
      <c r="B1314" s="46" t="s">
        <v>612</v>
      </c>
      <c r="C1314" s="47"/>
      <c r="D1314" s="47"/>
      <c r="E1314" s="47"/>
      <c r="F1314" s="47"/>
      <c r="G1314" s="47"/>
      <c r="H1314" s="47"/>
      <c r="I1314" s="47"/>
      <c r="J1314" s="47"/>
      <c r="K1314" s="47"/>
      <c r="L1314" s="47"/>
      <c r="M1314" s="47"/>
      <c r="N1314" s="47"/>
      <c r="O1314" s="47"/>
      <c r="P1314" s="47"/>
      <c r="Q1314" s="47"/>
      <c r="R1314" s="47"/>
      <c r="S1314" s="47"/>
      <c r="T1314" s="48"/>
    </row>
    <row r="1315" spans="1:22" ht="5.0999999999999996" customHeight="1" outlineLevel="1">
      <c r="G1315" s="148"/>
      <c r="H1315" s="148"/>
      <c r="I1315" s="136"/>
      <c r="J1315" s="136"/>
      <c r="K1315" s="136"/>
      <c r="L1315" s="136"/>
      <c r="M1315" s="136"/>
      <c r="N1315" s="136"/>
      <c r="O1315" s="136"/>
      <c r="P1315" s="136"/>
      <c r="Q1315" s="136"/>
      <c r="R1315" s="136"/>
      <c r="S1315" s="136"/>
      <c r="T1315" s="136"/>
    </row>
    <row r="1316" spans="1:22" ht="13.5" customHeight="1" outlineLevel="1">
      <c r="B1316" s="45"/>
      <c r="G1316" s="393" t="s">
        <v>590</v>
      </c>
      <c r="H1316" s="394" t="s">
        <v>503</v>
      </c>
      <c r="I1316" s="393"/>
      <c r="J1316" s="156"/>
      <c r="K1316" s="156"/>
      <c r="L1316" s="156"/>
      <c r="M1316" s="156"/>
      <c r="N1316" s="394"/>
      <c r="O1316" s="393"/>
      <c r="P1316" s="393" t="s">
        <v>589</v>
      </c>
      <c r="Q1316" s="394" t="s">
        <v>626</v>
      </c>
      <c r="R1316" s="156"/>
      <c r="S1316" s="156"/>
      <c r="T1316" s="393" t="s">
        <v>589</v>
      </c>
    </row>
    <row r="1317" spans="1:22" ht="13.5" customHeight="1" outlineLevel="1">
      <c r="B1317" s="206"/>
      <c r="C1317" s="206"/>
      <c r="G1317" s="49" t="s">
        <v>503</v>
      </c>
      <c r="H1317" s="49"/>
      <c r="I1317" s="49" t="s">
        <v>503</v>
      </c>
      <c r="J1317" s="49" t="s">
        <v>501</v>
      </c>
      <c r="K1317" s="49" t="s">
        <v>576</v>
      </c>
      <c r="L1317" s="49" t="s">
        <v>577</v>
      </c>
      <c r="M1317" s="49"/>
      <c r="N1317" s="49" t="s">
        <v>578</v>
      </c>
      <c r="O1317" s="49" t="s">
        <v>579</v>
      </c>
      <c r="P1317" s="49" t="s">
        <v>503</v>
      </c>
      <c r="Q1317" s="49"/>
      <c r="R1317" s="49" t="s">
        <v>580</v>
      </c>
      <c r="S1317" s="49" t="s">
        <v>580</v>
      </c>
      <c r="T1317" s="49" t="s">
        <v>626</v>
      </c>
    </row>
    <row r="1318" spans="1:22" ht="13.5" customHeight="1" outlineLevel="1" thickBot="1">
      <c r="B1318" s="130" t="s">
        <v>529</v>
      </c>
      <c r="C1318" s="210"/>
      <c r="D1318" s="210"/>
      <c r="E1318" s="210"/>
      <c r="F1318" s="210"/>
      <c r="G1318" s="98" t="s">
        <v>588</v>
      </c>
      <c r="H1318" s="98" t="s">
        <v>581</v>
      </c>
      <c r="I1318" s="98" t="s">
        <v>504</v>
      </c>
      <c r="J1318" s="98" t="s">
        <v>8</v>
      </c>
      <c r="K1318" s="98" t="s">
        <v>582</v>
      </c>
      <c r="L1318" s="98" t="s">
        <v>583</v>
      </c>
      <c r="M1318" s="98" t="s">
        <v>584</v>
      </c>
      <c r="N1318" s="98" t="s">
        <v>8</v>
      </c>
      <c r="O1318" s="98" t="s">
        <v>585</v>
      </c>
      <c r="P1318" s="98" t="s">
        <v>588</v>
      </c>
      <c r="Q1318" s="98" t="s">
        <v>610</v>
      </c>
      <c r="R1318" s="98" t="s">
        <v>586</v>
      </c>
      <c r="S1318" s="98" t="s">
        <v>587</v>
      </c>
      <c r="T1318" s="98" t="s">
        <v>588</v>
      </c>
    </row>
    <row r="1319" spans="1:22" ht="5.0999999999999996" customHeight="1" outlineLevel="1">
      <c r="J1319" s="148"/>
      <c r="K1319" s="148"/>
      <c r="L1319" s="136"/>
      <c r="M1319" s="136"/>
      <c r="N1319" s="136"/>
      <c r="O1319" s="136"/>
      <c r="P1319" s="136"/>
      <c r="Q1319" s="136"/>
      <c r="R1319" s="136"/>
      <c r="S1319" s="136"/>
      <c r="T1319" s="136"/>
    </row>
    <row r="1320" spans="1:22" ht="13.5" customHeight="1" outlineLevel="1">
      <c r="B1320" s="345" t="str">
        <f>B1291</f>
        <v>Legacy debt</v>
      </c>
      <c r="G1320" s="539">
        <v>230</v>
      </c>
      <c r="H1320" s="538">
        <v>1</v>
      </c>
      <c r="I1320" s="71">
        <f>T1300</f>
        <v>26.77</v>
      </c>
      <c r="J1320" s="395">
        <f t="shared" ref="J1320" si="1410">IFERROR(G1320/I1320,0)</f>
        <v>8.591707134852447</v>
      </c>
      <c r="K1320" s="349">
        <f>IF(I1320&lt;=$P$18,1,0)*H1320</f>
        <v>0</v>
      </c>
      <c r="L1320" s="538">
        <v>1</v>
      </c>
      <c r="M1320" s="349">
        <f>H1320*K1320*L1320</f>
        <v>0</v>
      </c>
      <c r="N1320" s="65">
        <f>J1320*M1320</f>
        <v>0</v>
      </c>
      <c r="O1320" s="54">
        <f>I1320*N1320</f>
        <v>0</v>
      </c>
      <c r="P1320" s="68">
        <f>G1320*(1-M1320)</f>
        <v>230</v>
      </c>
      <c r="Q1320" s="349">
        <f>M1291</f>
        <v>1</v>
      </c>
      <c r="R1320" s="532">
        <v>0.02</v>
      </c>
      <c r="S1320" s="54">
        <f>P1320*R1320*Q1320</f>
        <v>4.6000000000000005</v>
      </c>
      <c r="T1320" s="136">
        <f t="shared" ref="T1320" si="1411">P1320*(1-Q1320)</f>
        <v>0</v>
      </c>
    </row>
    <row r="1321" spans="1:22" s="35" customFormat="1" ht="5.0999999999999996" customHeight="1" outlineLevel="1" thickBot="1">
      <c r="B1321" s="121"/>
      <c r="C1321" s="121"/>
      <c r="D1321" s="121"/>
      <c r="E1321" s="121"/>
      <c r="F1321" s="121"/>
      <c r="G1321" s="121"/>
      <c r="H1321" s="121"/>
      <c r="I1321" s="121"/>
      <c r="J1321" s="121"/>
      <c r="K1321" s="121"/>
      <c r="L1321" s="121"/>
      <c r="M1321" s="121"/>
      <c r="N1321" s="121"/>
      <c r="O1321" s="121"/>
      <c r="P1321" s="121"/>
      <c r="Q1321" s="121"/>
      <c r="R1321" s="121"/>
      <c r="S1321" s="121"/>
      <c r="T1321" s="121"/>
      <c r="U1321" s="121"/>
      <c r="V1321" s="121"/>
    </row>
    <row r="1322" spans="1:22" s="35" customFormat="1" ht="13.5" customHeight="1" outlineLevel="1"/>
    <row r="1323" spans="1:22" s="35" customFormat="1" ht="13.5" customHeight="1" outlineLevel="1" thickBot="1"/>
    <row r="1324" spans="1:22" s="35" customFormat="1" ht="20.100000000000001" customHeight="1" thickTop="1">
      <c r="A1324" s="41" t="s">
        <v>426</v>
      </c>
      <c r="B1324" s="42" t="s">
        <v>609</v>
      </c>
      <c r="C1324" s="43"/>
      <c r="D1324" s="44"/>
      <c r="E1324" s="44"/>
      <c r="F1324" s="44"/>
      <c r="G1324" s="44"/>
      <c r="H1324" s="44"/>
      <c r="I1324" s="44"/>
      <c r="J1324" s="44"/>
      <c r="K1324" s="44"/>
      <c r="L1324" s="44"/>
      <c r="M1324" s="44"/>
      <c r="N1324" s="44"/>
      <c r="O1324" s="44"/>
      <c r="P1324" s="44"/>
      <c r="Q1324" s="44"/>
      <c r="R1324" s="44"/>
      <c r="S1324" s="44"/>
      <c r="T1324" s="44"/>
      <c r="U1324" s="44"/>
      <c r="V1324" s="44"/>
    </row>
    <row r="1325" spans="1:22" ht="13.5" customHeight="1" outlineLevel="1"/>
    <row r="1326" spans="1:22" ht="13.5" customHeight="1" outlineLevel="1">
      <c r="B1326" s="45"/>
      <c r="E1326" s="237" t="s">
        <v>65</v>
      </c>
      <c r="F1326" s="205" t="s">
        <v>542</v>
      </c>
      <c r="G1326" s="205"/>
      <c r="H1326" s="205"/>
      <c r="I1326" s="49" t="s">
        <v>557</v>
      </c>
      <c r="J1326" s="49" t="s">
        <v>595</v>
      </c>
      <c r="K1326" s="49" t="s">
        <v>598</v>
      </c>
      <c r="L1326" s="49" t="s">
        <v>601</v>
      </c>
      <c r="M1326" s="49" t="s">
        <v>603</v>
      </c>
      <c r="N1326" s="49" t="s">
        <v>622</v>
      </c>
      <c r="O1326" s="49" t="s">
        <v>23</v>
      </c>
    </row>
    <row r="1327" spans="1:22" ht="13.5" customHeight="1" outlineLevel="1">
      <c r="B1327" s="206"/>
      <c r="C1327" s="206"/>
      <c r="E1327" s="49" t="s">
        <v>195</v>
      </c>
      <c r="F1327" s="206" t="s">
        <v>591</v>
      </c>
      <c r="G1327" s="206" t="s">
        <v>607</v>
      </c>
      <c r="H1327" s="206" t="s">
        <v>592</v>
      </c>
      <c r="I1327" s="49" t="s">
        <v>596</v>
      </c>
      <c r="J1327" s="49" t="s">
        <v>105</v>
      </c>
      <c r="K1327" s="49" t="s">
        <v>85</v>
      </c>
      <c r="L1327" s="49" t="s">
        <v>602</v>
      </c>
      <c r="M1327" s="49" t="s">
        <v>575</v>
      </c>
      <c r="N1327" s="49" t="s">
        <v>623</v>
      </c>
      <c r="O1327" s="49" t="s">
        <v>85</v>
      </c>
    </row>
    <row r="1328" spans="1:22" ht="13.5" customHeight="1" outlineLevel="1" thickBot="1">
      <c r="B1328" s="130" t="s">
        <v>246</v>
      </c>
      <c r="C1328" s="210"/>
      <c r="D1328" s="210"/>
      <c r="E1328" s="396">
        <f>J243</f>
        <v>45291</v>
      </c>
      <c r="F1328" s="210" t="s">
        <v>593</v>
      </c>
      <c r="G1328" s="210" t="s">
        <v>608</v>
      </c>
      <c r="H1328" s="210" t="s">
        <v>594</v>
      </c>
      <c r="I1328" s="98" t="s">
        <v>74</v>
      </c>
      <c r="J1328" s="98" t="s">
        <v>597</v>
      </c>
      <c r="K1328" s="98" t="s">
        <v>599</v>
      </c>
      <c r="L1328" s="98" t="s">
        <v>195</v>
      </c>
      <c r="M1328" s="98" t="s">
        <v>604</v>
      </c>
      <c r="N1328" s="98" t="s">
        <v>616</v>
      </c>
      <c r="O1328" s="98" t="s">
        <v>599</v>
      </c>
    </row>
    <row r="1329" spans="2:23" s="35" customFormat="1" ht="5.0999999999999996" customHeight="1" outlineLevel="1">
      <c r="P1329" s="38"/>
      <c r="Q1329" s="38"/>
      <c r="R1329" s="38"/>
      <c r="S1329" s="38"/>
      <c r="T1329" s="38"/>
      <c r="U1329" s="38"/>
      <c r="V1329" s="38"/>
      <c r="W1329" s="38"/>
    </row>
    <row r="1330" spans="2:23" ht="13.5" customHeight="1" outlineLevel="1">
      <c r="B1330" s="46" t="s">
        <v>25</v>
      </c>
      <c r="C1330" s="47"/>
      <c r="D1330" s="47"/>
      <c r="E1330" s="47"/>
      <c r="F1330" s="47"/>
      <c r="G1330" s="47"/>
      <c r="H1330" s="47"/>
      <c r="I1330" s="47"/>
      <c r="J1330" s="47"/>
      <c r="K1330" s="47"/>
      <c r="L1330" s="47"/>
      <c r="M1330" s="47"/>
      <c r="N1330" s="47"/>
      <c r="O1330" s="48"/>
      <c r="P1330" s="289"/>
      <c r="Q1330" s="289"/>
    </row>
    <row r="1331" spans="2:23" s="35" customFormat="1" ht="5.0999999999999996" customHeight="1" outlineLevel="1">
      <c r="F1331" s="212"/>
      <c r="G1331" s="212"/>
      <c r="H1331" s="212"/>
      <c r="J1331" s="212"/>
      <c r="L1331" s="212"/>
      <c r="M1331" s="212"/>
      <c r="N1331" s="212"/>
      <c r="P1331" s="38"/>
      <c r="Q1331" s="38"/>
      <c r="R1331" s="38"/>
      <c r="S1331" s="38"/>
      <c r="T1331" s="38"/>
      <c r="U1331" s="38"/>
      <c r="V1331" s="38"/>
      <c r="W1331" s="38"/>
    </row>
    <row r="1332" spans="2:23" s="35" customFormat="1" ht="13.5" customHeight="1" outlineLevel="1">
      <c r="B1332" s="88" t="str">
        <f t="shared" ref="B1332:B1347" si="1412">B247</f>
        <v>Cash &amp; equivalents</v>
      </c>
      <c r="C1332" s="38"/>
      <c r="D1332" s="59"/>
      <c r="E1332" s="84">
        <f ca="1">J247</f>
        <v>182.18834347164699</v>
      </c>
      <c r="F1332" s="283"/>
      <c r="G1332" s="283"/>
      <c r="H1332" s="283"/>
      <c r="I1332" s="84">
        <f ca="1">SUM(E1332:H1332)</f>
        <v>182.18834347164699</v>
      </c>
      <c r="J1332" s="283">
        <f ca="1">IF(LBO,-M1272+H1098,0)</f>
        <v>-565.75316499999997</v>
      </c>
      <c r="K1332" s="84">
        <f ca="1">SUM(I1332:J1332)</f>
        <v>-383.56482152835298</v>
      </c>
      <c r="L1332" s="283">
        <f ca="1">-M1284+M1284*tax</f>
        <v>-11.743490403124998</v>
      </c>
      <c r="M1332" s="283">
        <f>M1358-M1276+M1276*tax</f>
        <v>-232.98999999999998</v>
      </c>
      <c r="N1332" s="283">
        <f ca="1">M1266-M1275-M1277*(1-tax)</f>
        <v>728.298311931478</v>
      </c>
      <c r="O1332" s="84">
        <f ca="1">SUM(K1332:N1332)</f>
        <v>100</v>
      </c>
      <c r="P1332" s="38"/>
      <c r="Q1332" s="38"/>
      <c r="R1332" s="38"/>
      <c r="S1332" s="38"/>
      <c r="T1332" s="38"/>
      <c r="U1332" s="38"/>
      <c r="V1332" s="38"/>
      <c r="W1332" s="38"/>
    </row>
    <row r="1333" spans="2:23" s="35" customFormat="1" ht="13.5" customHeight="1" outlineLevel="1">
      <c r="B1333" s="88" t="str">
        <f t="shared" si="1412"/>
        <v>Accounts receivable</v>
      </c>
      <c r="C1333" s="38"/>
      <c r="D1333" s="64"/>
      <c r="E1333" s="83">
        <f ca="1">J248</f>
        <v>138.21841237113401</v>
      </c>
      <c r="F1333" s="397"/>
      <c r="G1333" s="397"/>
      <c r="H1333" s="397"/>
      <c r="I1333" s="83">
        <f t="shared" ref="I1333:I1346" ca="1" si="1413">SUM(E1333:H1333)</f>
        <v>138.21841237113401</v>
      </c>
      <c r="J1333" s="397"/>
      <c r="K1333" s="83">
        <f ca="1">SUM(I1333:J1333)</f>
        <v>138.21841237113401</v>
      </c>
      <c r="L1333" s="397"/>
      <c r="M1333" s="397"/>
      <c r="N1333" s="397"/>
      <c r="O1333" s="83">
        <f ca="1">SUM(K1333:N1333)</f>
        <v>138.21841237113401</v>
      </c>
      <c r="P1333" s="38"/>
      <c r="Q1333" s="38"/>
      <c r="R1333" s="38"/>
      <c r="S1333" s="38"/>
      <c r="T1333" s="38"/>
      <c r="U1333" s="38"/>
      <c r="V1333" s="38"/>
      <c r="W1333" s="38"/>
    </row>
    <row r="1334" spans="2:23" s="35" customFormat="1" ht="13.5" customHeight="1" outlineLevel="1">
      <c r="B1334" s="88" t="str">
        <f t="shared" si="1412"/>
        <v>Inventories</v>
      </c>
      <c r="C1334" s="38"/>
      <c r="D1334" s="64"/>
      <c r="E1334" s="83">
        <f ca="1">J249</f>
        <v>0</v>
      </c>
      <c r="F1334" s="397"/>
      <c r="G1334" s="397"/>
      <c r="H1334" s="397"/>
      <c r="I1334" s="83">
        <f t="shared" ca="1" si="1413"/>
        <v>0</v>
      </c>
      <c r="J1334" s="397"/>
      <c r="K1334" s="83">
        <f ca="1">SUM(I1334:J1334)</f>
        <v>0</v>
      </c>
      <c r="L1334" s="397"/>
      <c r="M1334" s="397"/>
      <c r="N1334" s="397"/>
      <c r="O1334" s="83">
        <f ca="1">SUM(K1334:N1334)</f>
        <v>0</v>
      </c>
      <c r="P1334" s="38"/>
      <c r="Q1334" s="38"/>
      <c r="R1334" s="38"/>
      <c r="S1334" s="38"/>
      <c r="T1334" s="38"/>
      <c r="U1334" s="38"/>
      <c r="V1334" s="38"/>
      <c r="W1334" s="38"/>
    </row>
    <row r="1335" spans="2:23" s="35" customFormat="1" ht="13.5" customHeight="1" outlineLevel="1">
      <c r="B1335" s="88" t="str">
        <f t="shared" si="1412"/>
        <v>Deferred tax asset, current</v>
      </c>
      <c r="E1335" s="83">
        <f ca="1">J250</f>
        <v>0</v>
      </c>
      <c r="F1335" s="397"/>
      <c r="G1335" s="397"/>
      <c r="H1335" s="397"/>
      <c r="I1335" s="83">
        <f t="shared" ca="1" si="1413"/>
        <v>0</v>
      </c>
      <c r="J1335" s="397"/>
      <c r="K1335" s="83">
        <f ca="1">SUM(I1335:J1335)</f>
        <v>0</v>
      </c>
      <c r="L1335" s="397"/>
      <c r="M1335" s="397"/>
      <c r="N1335" s="397"/>
      <c r="O1335" s="83">
        <f ca="1">SUM(K1335:N1335)</f>
        <v>0</v>
      </c>
      <c r="P1335" s="38"/>
      <c r="Q1335" s="38"/>
      <c r="R1335" s="38"/>
      <c r="S1335" s="38"/>
      <c r="T1335" s="38"/>
      <c r="U1335" s="38"/>
      <c r="V1335" s="38"/>
      <c r="W1335" s="38"/>
    </row>
    <row r="1336" spans="2:23" s="35" customFormat="1" ht="13.5" customHeight="1" outlineLevel="1">
      <c r="B1336" s="88" t="str">
        <f t="shared" si="1412"/>
        <v>Prepaid expenses &amp; other</v>
      </c>
      <c r="C1336" s="38"/>
      <c r="D1336" s="64"/>
      <c r="E1336" s="83">
        <f ca="1">J251</f>
        <v>8.6439213893967093</v>
      </c>
      <c r="F1336" s="397"/>
      <c r="G1336" s="397"/>
      <c r="H1336" s="397"/>
      <c r="I1336" s="83">
        <f t="shared" ca="1" si="1413"/>
        <v>8.6439213893967093</v>
      </c>
      <c r="J1336" s="397"/>
      <c r="K1336" s="83">
        <f ca="1">SUM(I1336:J1336)</f>
        <v>8.6439213893967093</v>
      </c>
      <c r="L1336" s="397"/>
      <c r="M1336" s="397"/>
      <c r="N1336" s="397"/>
      <c r="O1336" s="83">
        <f ca="1">SUM(K1336:N1336)</f>
        <v>8.6439213893967093</v>
      </c>
      <c r="P1336" s="38"/>
      <c r="Q1336" s="38"/>
      <c r="R1336" s="38"/>
      <c r="S1336" s="38"/>
      <c r="T1336" s="38"/>
      <c r="U1336" s="38"/>
      <c r="V1336" s="38"/>
      <c r="W1336" s="38"/>
    </row>
    <row r="1337" spans="2:23" s="35" customFormat="1" ht="13.5" customHeight="1" outlineLevel="1">
      <c r="B1337" s="138" t="str">
        <f t="shared" si="1412"/>
        <v>Total current assets</v>
      </c>
      <c r="C1337" s="52"/>
      <c r="D1337" s="165"/>
      <c r="E1337" s="165">
        <f t="shared" ref="E1337:I1337" ca="1" si="1414">SUM(E1332:E1336)</f>
        <v>329.05067723217769</v>
      </c>
      <c r="F1337" s="216">
        <f t="shared" si="1414"/>
        <v>0</v>
      </c>
      <c r="G1337" s="216">
        <f t="shared" si="1414"/>
        <v>0</v>
      </c>
      <c r="H1337" s="216">
        <f t="shared" si="1414"/>
        <v>0</v>
      </c>
      <c r="I1337" s="165">
        <f t="shared" ca="1" si="1414"/>
        <v>329.05067723217769</v>
      </c>
      <c r="J1337" s="216">
        <f ca="1">SUM(J1332:J1336)</f>
        <v>-565.75316499999997</v>
      </c>
      <c r="K1337" s="165">
        <f t="shared" ref="K1337:L1337" ca="1" si="1415">SUM(K1332:K1336)</f>
        <v>-236.70248776782228</v>
      </c>
      <c r="L1337" s="216">
        <f t="shared" ca="1" si="1415"/>
        <v>-11.743490403124998</v>
      </c>
      <c r="M1337" s="216">
        <f t="shared" ref="M1337:N1337" si="1416">SUM(M1332:M1336)</f>
        <v>-232.98999999999998</v>
      </c>
      <c r="N1337" s="216">
        <f t="shared" ca="1" si="1416"/>
        <v>728.298311931478</v>
      </c>
      <c r="O1337" s="165">
        <f ca="1">SUM(O1332:O1336)</f>
        <v>246.8623337605307</v>
      </c>
      <c r="P1337" s="38"/>
      <c r="Q1337" s="38"/>
      <c r="R1337" s="38"/>
      <c r="S1337" s="38"/>
      <c r="T1337" s="38"/>
      <c r="U1337" s="38"/>
      <c r="V1337" s="38"/>
      <c r="W1337" s="38"/>
    </row>
    <row r="1338" spans="2:23" s="35" customFormat="1" ht="13.5" customHeight="1" outlineLevel="1">
      <c r="B1338" s="88" t="str">
        <f t="shared" si="1412"/>
        <v>PP&amp;E, gross</v>
      </c>
      <c r="C1338" s="38"/>
      <c r="D1338" s="217"/>
      <c r="E1338" s="83">
        <f ca="1">J253</f>
        <v>190.98593064667293</v>
      </c>
      <c r="F1338" s="397"/>
      <c r="G1338" s="397">
        <f ca="1">H45</f>
        <v>15</v>
      </c>
      <c r="H1338" s="397"/>
      <c r="I1338" s="83">
        <f t="shared" ca="1" si="1413"/>
        <v>205.98593064667293</v>
      </c>
      <c r="J1338" s="397"/>
      <c r="K1338" s="83">
        <f ca="1">SUM(I1338:J1338)</f>
        <v>205.98593064667293</v>
      </c>
      <c r="L1338" s="397"/>
      <c r="M1338" s="397"/>
      <c r="N1338" s="397"/>
      <c r="O1338" s="83">
        <f ca="1">SUM(K1338:N1338)</f>
        <v>205.98593064667293</v>
      </c>
      <c r="P1338" s="38"/>
      <c r="Q1338" s="38"/>
      <c r="R1338" s="38"/>
      <c r="S1338" s="38"/>
      <c r="T1338" s="38"/>
      <c r="U1338" s="38"/>
      <c r="V1338" s="38"/>
      <c r="W1338" s="38"/>
    </row>
    <row r="1339" spans="2:23" s="35" customFormat="1" ht="13.5" customHeight="1" outlineLevel="1">
      <c r="B1339" s="88" t="str">
        <f t="shared" si="1412"/>
        <v>( – ) Accumluated depreciation</v>
      </c>
      <c r="C1339" s="38"/>
      <c r="D1339" s="64"/>
      <c r="E1339" s="83">
        <f ca="1">J254</f>
        <v>-152.34400000000005</v>
      </c>
      <c r="F1339" s="397"/>
      <c r="G1339" s="397"/>
      <c r="H1339" s="397"/>
      <c r="I1339" s="83">
        <f t="shared" ca="1" si="1413"/>
        <v>-152.34400000000005</v>
      </c>
      <c r="J1339" s="397"/>
      <c r="K1339" s="83">
        <f ca="1">SUM(I1339:J1339)</f>
        <v>-152.34400000000005</v>
      </c>
      <c r="L1339" s="397"/>
      <c r="M1339" s="397"/>
      <c r="N1339" s="397"/>
      <c r="O1339" s="83">
        <f ca="1">SUM(K1339:N1339)</f>
        <v>-152.34400000000005</v>
      </c>
      <c r="P1339" s="38"/>
      <c r="Q1339" s="38"/>
      <c r="R1339" s="38"/>
      <c r="S1339" s="38"/>
      <c r="T1339" s="38"/>
      <c r="U1339" s="38"/>
      <c r="V1339" s="38"/>
      <c r="W1339" s="38"/>
    </row>
    <row r="1340" spans="2:23" s="35" customFormat="1" ht="13.5" customHeight="1" outlineLevel="1">
      <c r="B1340" s="138" t="str">
        <f t="shared" si="1412"/>
        <v>PP&amp;E, net</v>
      </c>
      <c r="C1340" s="52"/>
      <c r="D1340" s="219"/>
      <c r="E1340" s="87">
        <f t="shared" ref="E1340:I1340" ca="1" si="1417">SUM(E1338:E1339)</f>
        <v>38.641930646672876</v>
      </c>
      <c r="F1340" s="220">
        <f t="shared" si="1417"/>
        <v>0</v>
      </c>
      <c r="G1340" s="220">
        <f t="shared" ca="1" si="1417"/>
        <v>15</v>
      </c>
      <c r="H1340" s="220">
        <f t="shared" si="1417"/>
        <v>0</v>
      </c>
      <c r="I1340" s="87">
        <f t="shared" ca="1" si="1417"/>
        <v>53.641930646672876</v>
      </c>
      <c r="J1340" s="220">
        <f>SUM(J1338:J1339)</f>
        <v>0</v>
      </c>
      <c r="K1340" s="87">
        <f t="shared" ref="K1340:L1340" ca="1" si="1418">SUM(K1338:K1339)</f>
        <v>53.641930646672876</v>
      </c>
      <c r="L1340" s="220">
        <f t="shared" si="1418"/>
        <v>0</v>
      </c>
      <c r="M1340" s="220">
        <f t="shared" ref="M1340:N1340" si="1419">SUM(M1338:M1339)</f>
        <v>0</v>
      </c>
      <c r="N1340" s="220">
        <f t="shared" si="1419"/>
        <v>0</v>
      </c>
      <c r="O1340" s="87">
        <f ca="1">SUM(O1338:O1339)</f>
        <v>53.641930646672876</v>
      </c>
      <c r="P1340" s="38"/>
      <c r="Q1340" s="38"/>
      <c r="R1340" s="38"/>
      <c r="S1340" s="38"/>
      <c r="T1340" s="38"/>
      <c r="U1340" s="38"/>
      <c r="V1340" s="38"/>
      <c r="W1340" s="38"/>
    </row>
    <row r="1341" spans="2:23" s="35" customFormat="1" ht="13.5" customHeight="1" outlineLevel="1">
      <c r="B1341" s="38" t="str">
        <f t="shared" si="1412"/>
        <v>Equity investments</v>
      </c>
      <c r="C1341" s="38"/>
      <c r="D1341" s="64"/>
      <c r="E1341" s="83">
        <f t="shared" ref="E1341:E1346" ca="1" si="1420">J256</f>
        <v>0</v>
      </c>
      <c r="F1341" s="397"/>
      <c r="G1341" s="397"/>
      <c r="H1341" s="397"/>
      <c r="I1341" s="83">
        <f t="shared" ca="1" si="1413"/>
        <v>0</v>
      </c>
      <c r="J1341" s="397"/>
      <c r="K1341" s="83">
        <f t="shared" ref="K1341:K1346" ca="1" si="1421">SUM(I1341:J1341)</f>
        <v>0</v>
      </c>
      <c r="L1341" s="397"/>
      <c r="M1341" s="397"/>
      <c r="N1341" s="397"/>
      <c r="O1341" s="83">
        <f t="shared" ref="O1341:O1346" ca="1" si="1422">SUM(K1341:N1341)</f>
        <v>0</v>
      </c>
      <c r="P1341" s="38"/>
      <c r="Q1341" s="38"/>
      <c r="R1341" s="38"/>
      <c r="S1341" s="38"/>
      <c r="T1341" s="38"/>
      <c r="U1341" s="38"/>
      <c r="V1341" s="38"/>
      <c r="W1341" s="38"/>
    </row>
    <row r="1342" spans="2:23" s="35" customFormat="1" ht="13.5" customHeight="1" outlineLevel="1">
      <c r="B1342" s="38" t="str">
        <f t="shared" si="1412"/>
        <v>Capitalized financing costs</v>
      </c>
      <c r="C1342" s="38"/>
      <c r="D1342" s="64"/>
      <c r="E1342" s="83">
        <f t="shared" ca="1" si="1420"/>
        <v>0</v>
      </c>
      <c r="F1342" s="397"/>
      <c r="G1342" s="397"/>
      <c r="H1342" s="397"/>
      <c r="I1342" s="83">
        <f t="shared" ca="1" si="1413"/>
        <v>0</v>
      </c>
      <c r="J1342" s="397"/>
      <c r="K1342" s="83">
        <f t="shared" ca="1" si="1421"/>
        <v>0</v>
      </c>
      <c r="L1342" s="397"/>
      <c r="M1342" s="397"/>
      <c r="N1342" s="397">
        <f>K1312</f>
        <v>6.5</v>
      </c>
      <c r="O1342" s="83">
        <f t="shared" ca="1" si="1422"/>
        <v>6.5</v>
      </c>
      <c r="P1342" s="38"/>
      <c r="Q1342" s="38"/>
      <c r="R1342" s="38"/>
      <c r="S1342" s="38"/>
      <c r="T1342" s="38"/>
      <c r="U1342" s="38"/>
      <c r="V1342" s="38"/>
      <c r="W1342" s="38"/>
    </row>
    <row r="1343" spans="2:23" s="35" customFormat="1" ht="13.5" customHeight="1" outlineLevel="1">
      <c r="B1343" s="38" t="str">
        <f t="shared" si="1412"/>
        <v>Goodwill, net</v>
      </c>
      <c r="C1343" s="38"/>
      <c r="D1343" s="64"/>
      <c r="E1343" s="83">
        <f t="shared" ca="1" si="1420"/>
        <v>61.094000000000001</v>
      </c>
      <c r="F1343" s="397">
        <f ca="1">-E1343*LBO</f>
        <v>-61.094000000000001</v>
      </c>
      <c r="G1343" s="397"/>
      <c r="H1343" s="397"/>
      <c r="I1343" s="83">
        <f t="shared" ca="1" si="1413"/>
        <v>0</v>
      </c>
      <c r="J1343" s="397">
        <f ca="1">goodwill*LBO</f>
        <v>418.01942547835932</v>
      </c>
      <c r="K1343" s="83">
        <f t="shared" ca="1" si="1421"/>
        <v>418.01942547835932</v>
      </c>
      <c r="L1343" s="397"/>
      <c r="M1343" s="397"/>
      <c r="N1343" s="397"/>
      <c r="O1343" s="83">
        <f t="shared" ca="1" si="1422"/>
        <v>418.01942547835932</v>
      </c>
      <c r="P1343" s="38"/>
      <c r="Q1343" s="38"/>
      <c r="R1343" s="38"/>
      <c r="S1343" s="38"/>
      <c r="T1343" s="38"/>
      <c r="U1343" s="38"/>
      <c r="V1343" s="38"/>
      <c r="W1343" s="38"/>
    </row>
    <row r="1344" spans="2:23" s="35" customFormat="1" ht="13.5" customHeight="1" outlineLevel="1">
      <c r="B1344" s="38" t="str">
        <f t="shared" si="1412"/>
        <v>Intangible assets, net</v>
      </c>
      <c r="C1344" s="38"/>
      <c r="D1344" s="64"/>
      <c r="E1344" s="83">
        <f t="shared" ca="1" si="1420"/>
        <v>23.991</v>
      </c>
      <c r="F1344" s="397">
        <f ca="1">-E1344*V37*LBO</f>
        <v>0</v>
      </c>
      <c r="G1344" s="397">
        <f ca="1">H46</f>
        <v>109.45535088906249</v>
      </c>
      <c r="H1344" s="397"/>
      <c r="I1344" s="83">
        <f t="shared" ca="1" si="1413"/>
        <v>133.4463508890625</v>
      </c>
      <c r="J1344" s="397"/>
      <c r="K1344" s="83">
        <f t="shared" ca="1" si="1421"/>
        <v>133.4463508890625</v>
      </c>
      <c r="L1344" s="397"/>
      <c r="M1344" s="397"/>
      <c r="N1344" s="397"/>
      <c r="O1344" s="83">
        <f t="shared" ca="1" si="1422"/>
        <v>133.4463508890625</v>
      </c>
      <c r="P1344" s="38"/>
      <c r="Q1344" s="38"/>
      <c r="R1344" s="38"/>
      <c r="S1344" s="38"/>
      <c r="T1344" s="38"/>
      <c r="U1344" s="38"/>
      <c r="V1344" s="38"/>
      <c r="W1344" s="38"/>
    </row>
    <row r="1345" spans="2:23" s="35" customFormat="1" ht="13.5" customHeight="1" outlineLevel="1">
      <c r="B1345" s="38" t="str">
        <f t="shared" si="1412"/>
        <v>Operating rights, net</v>
      </c>
      <c r="C1345" s="38"/>
      <c r="D1345" s="64"/>
      <c r="E1345" s="83">
        <f t="shared" ca="1" si="1420"/>
        <v>0</v>
      </c>
      <c r="F1345" s="397"/>
      <c r="G1345" s="397"/>
      <c r="H1345" s="397"/>
      <c r="I1345" s="83">
        <f t="shared" ca="1" si="1413"/>
        <v>0</v>
      </c>
      <c r="J1345" s="397"/>
      <c r="K1345" s="83">
        <f t="shared" ca="1" si="1421"/>
        <v>0</v>
      </c>
      <c r="L1345" s="397"/>
      <c r="M1345" s="397"/>
      <c r="N1345" s="397"/>
      <c r="O1345" s="83">
        <f t="shared" ca="1" si="1422"/>
        <v>0</v>
      </c>
      <c r="P1345" s="38"/>
      <c r="Q1345" s="38"/>
      <c r="R1345" s="38"/>
      <c r="S1345" s="38"/>
      <c r="T1345" s="38"/>
      <c r="U1345" s="38"/>
      <c r="V1345" s="38"/>
      <c r="W1345" s="38"/>
    </row>
    <row r="1346" spans="2:23" s="35" customFormat="1" ht="13.5" customHeight="1" outlineLevel="1">
      <c r="B1346" s="38" t="str">
        <f t="shared" si="1412"/>
        <v>Other long-term assets</v>
      </c>
      <c r="C1346" s="38"/>
      <c r="D1346" s="64"/>
      <c r="E1346" s="83">
        <f t="shared" ca="1" si="1420"/>
        <v>14.29</v>
      </c>
      <c r="F1346" s="397"/>
      <c r="G1346" s="397"/>
      <c r="H1346" s="397"/>
      <c r="I1346" s="83">
        <f t="shared" ca="1" si="1413"/>
        <v>14.29</v>
      </c>
      <c r="J1346" s="397"/>
      <c r="K1346" s="83">
        <f t="shared" ca="1" si="1421"/>
        <v>14.29</v>
      </c>
      <c r="L1346" s="397"/>
      <c r="M1346" s="397"/>
      <c r="N1346" s="397"/>
      <c r="O1346" s="83">
        <f t="shared" ca="1" si="1422"/>
        <v>14.29</v>
      </c>
      <c r="P1346" s="38"/>
      <c r="Q1346" s="38"/>
      <c r="R1346" s="38"/>
      <c r="S1346" s="38"/>
      <c r="T1346" s="38"/>
      <c r="U1346" s="38"/>
      <c r="V1346" s="38"/>
      <c r="W1346" s="38"/>
    </row>
    <row r="1347" spans="2:23" s="35" customFormat="1" ht="13.5" customHeight="1" outlineLevel="1">
      <c r="B1347" s="221" t="str">
        <f t="shared" si="1412"/>
        <v>Total assets</v>
      </c>
      <c r="C1347" s="141"/>
      <c r="D1347" s="222"/>
      <c r="E1347" s="222">
        <f t="shared" ref="E1347" ca="1" si="1423">SUM(E1340:E1346)+E1337</f>
        <v>467.06760787885059</v>
      </c>
      <c r="F1347" s="105">
        <f t="shared" ref="F1347" ca="1" si="1424">SUM(F1340:F1346)+F1337</f>
        <v>-61.094000000000001</v>
      </c>
      <c r="G1347" s="105">
        <f t="shared" ref="G1347" ca="1" si="1425">SUM(G1340:G1346)+G1337</f>
        <v>124.45535088906249</v>
      </c>
      <c r="H1347" s="105">
        <f>SUM(H1340:H1346)+H1337</f>
        <v>0</v>
      </c>
      <c r="I1347" s="222">
        <f ca="1">SUM(I1340:I1346)+I1337</f>
        <v>530.42895876791306</v>
      </c>
      <c r="J1347" s="105">
        <f ca="1">SUM(J1340:J1346)+J1337</f>
        <v>-147.73373952164064</v>
      </c>
      <c r="K1347" s="222">
        <f t="shared" ref="K1347" ca="1" si="1426">SUM(K1340:K1346)+K1337</f>
        <v>382.69521924627236</v>
      </c>
      <c r="L1347" s="105">
        <f t="shared" ref="L1347" ca="1" si="1427">SUM(L1340:L1346)+L1337</f>
        <v>-11.743490403124998</v>
      </c>
      <c r="M1347" s="105">
        <f t="shared" ref="M1347" si="1428">SUM(M1340:M1346)+M1337</f>
        <v>-232.98999999999998</v>
      </c>
      <c r="N1347" s="105">
        <f t="shared" ref="N1347" ca="1" si="1429">SUM(N1340:N1346)+N1337</f>
        <v>734.798311931478</v>
      </c>
      <c r="O1347" s="222">
        <f ca="1">SUM(O1340:O1346)+O1337</f>
        <v>872.76004077462539</v>
      </c>
      <c r="P1347" s="38"/>
      <c r="Q1347" s="38"/>
      <c r="R1347" s="38"/>
      <c r="S1347" s="38"/>
      <c r="T1347" s="38"/>
      <c r="U1347" s="38"/>
      <c r="V1347" s="38"/>
      <c r="W1347" s="38"/>
    </row>
    <row r="1348" spans="2:23" s="35" customFormat="1" ht="13.5" customHeight="1" outlineLevel="1">
      <c r="F1348" s="212"/>
      <c r="G1348" s="212"/>
      <c r="H1348" s="212"/>
      <c r="J1348" s="212"/>
      <c r="L1348" s="212"/>
      <c r="M1348" s="212"/>
      <c r="N1348" s="212"/>
      <c r="P1348" s="38"/>
      <c r="Q1348" s="38"/>
      <c r="R1348" s="38"/>
      <c r="S1348" s="38"/>
      <c r="T1348" s="38"/>
      <c r="U1348" s="38"/>
      <c r="V1348" s="38"/>
      <c r="W1348" s="38"/>
    </row>
    <row r="1349" spans="2:23" ht="13.5" customHeight="1" outlineLevel="1">
      <c r="B1349" s="46" t="s">
        <v>79</v>
      </c>
      <c r="C1349" s="47"/>
      <c r="D1349" s="47"/>
      <c r="E1349" s="47"/>
      <c r="F1349" s="47"/>
      <c r="G1349" s="47"/>
      <c r="H1349" s="47"/>
      <c r="I1349" s="47"/>
      <c r="J1349" s="47"/>
      <c r="K1349" s="47"/>
      <c r="L1349" s="47"/>
      <c r="M1349" s="47"/>
      <c r="N1349" s="47"/>
      <c r="O1349" s="48"/>
      <c r="P1349" s="289"/>
      <c r="Q1349" s="289"/>
    </row>
    <row r="1350" spans="2:23" s="35" customFormat="1" ht="5.0999999999999996" customHeight="1" outlineLevel="1">
      <c r="F1350" s="212"/>
      <c r="G1350" s="212"/>
      <c r="H1350" s="212"/>
      <c r="J1350" s="212"/>
      <c r="L1350" s="212"/>
      <c r="M1350" s="212"/>
      <c r="N1350" s="212"/>
      <c r="P1350" s="38"/>
      <c r="Q1350" s="38"/>
      <c r="R1350" s="38"/>
      <c r="S1350" s="38"/>
      <c r="T1350" s="38"/>
      <c r="U1350" s="38"/>
      <c r="V1350" s="38"/>
      <c r="W1350" s="38"/>
    </row>
    <row r="1351" spans="2:23" s="35" customFormat="1" ht="13.5" customHeight="1" outlineLevel="1">
      <c r="B1351" s="88" t="str">
        <f t="shared" ref="B1351:B1379" si="1430">B266</f>
        <v>Short-term debt</v>
      </c>
      <c r="C1351" s="38"/>
      <c r="D1351" s="59"/>
      <c r="E1351" s="84">
        <f ca="1">J266</f>
        <v>0</v>
      </c>
      <c r="F1351" s="283"/>
      <c r="G1351" s="283"/>
      <c r="H1351" s="283"/>
      <c r="I1351" s="84">
        <f t="shared" ref="I1351:I1355" ca="1" si="1431">SUM(E1351:H1351)</f>
        <v>0</v>
      </c>
      <c r="J1351" s="283"/>
      <c r="K1351" s="84">
        <f ca="1">SUM(I1351:J1351)</f>
        <v>0</v>
      </c>
      <c r="L1351" s="283"/>
      <c r="M1351" s="283"/>
      <c r="N1351" s="283"/>
      <c r="O1351" s="84">
        <f ca="1">SUM(K1351:N1351)</f>
        <v>0</v>
      </c>
      <c r="P1351" s="38"/>
      <c r="Q1351" s="38"/>
      <c r="R1351" s="38"/>
      <c r="S1351" s="38"/>
      <c r="T1351" s="38"/>
      <c r="U1351" s="38"/>
      <c r="V1351" s="38"/>
      <c r="W1351" s="38"/>
    </row>
    <row r="1352" spans="2:23" s="35" customFormat="1" ht="13.5" customHeight="1" outlineLevel="1">
      <c r="B1352" s="88" t="str">
        <f t="shared" si="1430"/>
        <v>Accounts payable</v>
      </c>
      <c r="C1352" s="38"/>
      <c r="D1352" s="64"/>
      <c r="E1352" s="83">
        <f ca="1">J267</f>
        <v>21.719652650822667</v>
      </c>
      <c r="F1352" s="397"/>
      <c r="G1352" s="397"/>
      <c r="H1352" s="397"/>
      <c r="I1352" s="83">
        <f t="shared" ca="1" si="1431"/>
        <v>21.719652650822667</v>
      </c>
      <c r="J1352" s="397"/>
      <c r="K1352" s="83">
        <f ca="1">SUM(I1352:J1352)</f>
        <v>21.719652650822667</v>
      </c>
      <c r="L1352" s="397"/>
      <c r="M1352" s="397"/>
      <c r="N1352" s="397"/>
      <c r="O1352" s="83">
        <f ca="1">SUM(K1352:N1352)</f>
        <v>21.719652650822667</v>
      </c>
      <c r="P1352" s="38"/>
      <c r="Q1352" s="38"/>
      <c r="R1352" s="38"/>
      <c r="S1352" s="38"/>
      <c r="T1352" s="38"/>
      <c r="U1352" s="38"/>
      <c r="V1352" s="38"/>
      <c r="W1352" s="38"/>
    </row>
    <row r="1353" spans="2:23" s="35" customFormat="1" ht="13.5" customHeight="1" outlineLevel="1">
      <c r="B1353" s="88" t="str">
        <f t="shared" si="1430"/>
        <v>Accrued liabilities</v>
      </c>
      <c r="C1353" s="38"/>
      <c r="D1353" s="64"/>
      <c r="E1353" s="83">
        <f ca="1">J268</f>
        <v>16.167276051188299</v>
      </c>
      <c r="F1353" s="397"/>
      <c r="G1353" s="397"/>
      <c r="H1353" s="397"/>
      <c r="I1353" s="83">
        <f t="shared" ca="1" si="1431"/>
        <v>16.167276051188299</v>
      </c>
      <c r="J1353" s="397"/>
      <c r="K1353" s="83">
        <f ca="1">SUM(I1353:J1353)</f>
        <v>16.167276051188299</v>
      </c>
      <c r="L1353" s="397"/>
      <c r="M1353" s="397"/>
      <c r="N1353" s="397"/>
      <c r="O1353" s="83">
        <f ca="1">SUM(K1353:N1353)</f>
        <v>16.167276051188299</v>
      </c>
      <c r="P1353" s="38"/>
      <c r="Q1353" s="38"/>
      <c r="R1353" s="38"/>
      <c r="S1353" s="38"/>
      <c r="T1353" s="38"/>
      <c r="U1353" s="38"/>
      <c r="V1353" s="38"/>
      <c r="W1353" s="38"/>
    </row>
    <row r="1354" spans="2:23" s="35" customFormat="1" ht="13.5" customHeight="1" outlineLevel="1">
      <c r="B1354" s="88" t="str">
        <f t="shared" si="1430"/>
        <v>Client deposits</v>
      </c>
      <c r="C1354" s="38"/>
      <c r="D1354" s="64"/>
      <c r="E1354" s="83">
        <f ca="1">J269</f>
        <v>0</v>
      </c>
      <c r="F1354" s="397"/>
      <c r="G1354" s="397"/>
      <c r="H1354" s="397"/>
      <c r="I1354" s="83">
        <f t="shared" ca="1" si="1431"/>
        <v>0</v>
      </c>
      <c r="J1354" s="397"/>
      <c r="K1354" s="83">
        <f ca="1">SUM(I1354:J1354)</f>
        <v>0</v>
      </c>
      <c r="L1354" s="397"/>
      <c r="M1354" s="397"/>
      <c r="N1354" s="397"/>
      <c r="O1354" s="83">
        <f ca="1">SUM(K1354:N1354)</f>
        <v>0</v>
      </c>
    </row>
    <row r="1355" spans="2:23" s="35" customFormat="1" ht="13.5" customHeight="1" outlineLevel="1">
      <c r="B1355" s="88" t="str">
        <f t="shared" si="1430"/>
        <v>Other current liabilities</v>
      </c>
      <c r="C1355" s="38"/>
      <c r="D1355" s="64"/>
      <c r="E1355" s="83">
        <f ca="1">J270</f>
        <v>62.159917733089578</v>
      </c>
      <c r="F1355" s="397"/>
      <c r="G1355" s="397"/>
      <c r="H1355" s="397"/>
      <c r="I1355" s="83">
        <f t="shared" ca="1" si="1431"/>
        <v>62.159917733089578</v>
      </c>
      <c r="J1355" s="397"/>
      <c r="K1355" s="83">
        <f ca="1">SUM(I1355:J1355)</f>
        <v>62.159917733089578</v>
      </c>
      <c r="L1355" s="397"/>
      <c r="M1355" s="397"/>
      <c r="N1355" s="397"/>
      <c r="O1355" s="83">
        <f ca="1">SUM(K1355:N1355)</f>
        <v>62.159917733089578</v>
      </c>
    </row>
    <row r="1356" spans="2:23" s="35" customFormat="1" ht="13.5" customHeight="1" outlineLevel="1">
      <c r="B1356" s="138" t="str">
        <f t="shared" si="1430"/>
        <v>Total current liabilities</v>
      </c>
      <c r="C1356" s="52"/>
      <c r="D1356" s="165"/>
      <c r="E1356" s="165">
        <f t="shared" ref="E1356:I1356" ca="1" si="1432">SUM(E1351:E1355)</f>
        <v>100.04684643510055</v>
      </c>
      <c r="F1356" s="216">
        <f t="shared" si="1432"/>
        <v>0</v>
      </c>
      <c r="G1356" s="216">
        <f t="shared" si="1432"/>
        <v>0</v>
      </c>
      <c r="H1356" s="216">
        <f t="shared" si="1432"/>
        <v>0</v>
      </c>
      <c r="I1356" s="165">
        <f t="shared" ca="1" si="1432"/>
        <v>100.04684643510055</v>
      </c>
      <c r="J1356" s="216">
        <f>SUM(J1351:J1355)</f>
        <v>0</v>
      </c>
      <c r="K1356" s="165">
        <f t="shared" ref="K1356:L1356" ca="1" si="1433">SUM(K1351:K1355)</f>
        <v>100.04684643510055</v>
      </c>
      <c r="L1356" s="216">
        <f t="shared" si="1433"/>
        <v>0</v>
      </c>
      <c r="M1356" s="216">
        <f t="shared" ref="M1356:N1356" si="1434">SUM(M1351:M1355)</f>
        <v>0</v>
      </c>
      <c r="N1356" s="216">
        <f t="shared" si="1434"/>
        <v>0</v>
      </c>
      <c r="O1356" s="165">
        <f ca="1">SUM(O1351:O1355)</f>
        <v>100.04684643510055</v>
      </c>
    </row>
    <row r="1357" spans="2:23" s="35" customFormat="1" ht="13.5" customHeight="1" outlineLevel="1">
      <c r="B1357" s="38" t="str">
        <f t="shared" si="1430"/>
        <v>Capital leases</v>
      </c>
      <c r="C1357" s="38"/>
      <c r="D1357" s="64"/>
      <c r="E1357" s="83">
        <f t="shared" ref="E1357:E1367" ca="1" si="1435">J272</f>
        <v>0</v>
      </c>
      <c r="F1357" s="397"/>
      <c r="G1357" s="397"/>
      <c r="H1357" s="397"/>
      <c r="I1357" s="83">
        <f t="shared" ref="I1357:I1367" ca="1" si="1436">SUM(E1357:H1357)</f>
        <v>0</v>
      </c>
      <c r="J1357" s="397"/>
      <c r="K1357" s="83">
        <f t="shared" ref="K1357:K1367" ca="1" si="1437">SUM(I1357:J1357)</f>
        <v>0</v>
      </c>
      <c r="L1357" s="397"/>
      <c r="M1357" s="397"/>
      <c r="N1357" s="397"/>
      <c r="O1357" s="83">
        <f t="shared" ref="O1357:O1367" ca="1" si="1438">SUM(K1357:N1357)</f>
        <v>0</v>
      </c>
    </row>
    <row r="1358" spans="2:23" s="35" customFormat="1" ht="13.5" customHeight="1" outlineLevel="1">
      <c r="B1358" s="88" t="str">
        <f t="shared" si="1430"/>
        <v>Existing LT debt (excl. current portion)</v>
      </c>
      <c r="C1358" s="38"/>
      <c r="D1358" s="64"/>
      <c r="E1358" s="83">
        <f t="shared" ca="1" si="1435"/>
        <v>230</v>
      </c>
      <c r="F1358" s="397"/>
      <c r="G1358" s="397"/>
      <c r="H1358" s="397"/>
      <c r="I1358" s="83">
        <f t="shared" ca="1" si="1436"/>
        <v>230</v>
      </c>
      <c r="J1358" s="397">
        <f>P1320-G1320</f>
        <v>0</v>
      </c>
      <c r="K1358" s="83">
        <f t="shared" ca="1" si="1437"/>
        <v>230</v>
      </c>
      <c r="L1358" s="397"/>
      <c r="M1358" s="397">
        <f>T1320-P1320</f>
        <v>-230</v>
      </c>
      <c r="N1358" s="397"/>
      <c r="O1358" s="83">
        <f t="shared" ca="1" si="1438"/>
        <v>0</v>
      </c>
    </row>
    <row r="1359" spans="2:23" s="35" customFormat="1" ht="13.5" customHeight="1" outlineLevel="1">
      <c r="B1359" s="88" t="str">
        <f t="shared" si="1430"/>
        <v>Revolver</v>
      </c>
      <c r="C1359" s="38"/>
      <c r="D1359" s="64"/>
      <c r="E1359" s="83">
        <f t="shared" ca="1" si="1435"/>
        <v>0</v>
      </c>
      <c r="F1359" s="397"/>
      <c r="G1359" s="397"/>
      <c r="H1359" s="397"/>
      <c r="I1359" s="83">
        <f t="shared" ca="1" si="1436"/>
        <v>0</v>
      </c>
      <c r="J1359" s="397"/>
      <c r="K1359" s="83">
        <f t="shared" ca="1" si="1437"/>
        <v>0</v>
      </c>
      <c r="L1359" s="397"/>
      <c r="M1359" s="397"/>
      <c r="N1359" s="397">
        <f>L499</f>
        <v>0</v>
      </c>
      <c r="O1359" s="83">
        <f t="shared" ca="1" si="1438"/>
        <v>0</v>
      </c>
    </row>
    <row r="1360" spans="2:23" s="35" customFormat="1" ht="13.5" customHeight="1" outlineLevel="1">
      <c r="B1360" s="88" t="str">
        <f t="shared" si="1430"/>
        <v>Term loan - A</v>
      </c>
      <c r="C1360" s="38"/>
      <c r="D1360" s="64"/>
      <c r="E1360" s="83">
        <f t="shared" ca="1" si="1435"/>
        <v>0</v>
      </c>
      <c r="F1360" s="397"/>
      <c r="G1360" s="397"/>
      <c r="H1360" s="397"/>
      <c r="I1360" s="83">
        <f t="shared" ca="1" si="1436"/>
        <v>0</v>
      </c>
      <c r="J1360" s="397"/>
      <c r="K1360" s="83">
        <f t="shared" ca="1" si="1437"/>
        <v>0</v>
      </c>
      <c r="L1360" s="397"/>
      <c r="M1360" s="397"/>
      <c r="N1360" s="397">
        <f>L554</f>
        <v>50</v>
      </c>
      <c r="O1360" s="83">
        <f t="shared" ca="1" si="1438"/>
        <v>50</v>
      </c>
    </row>
    <row r="1361" spans="2:15" s="35" customFormat="1" ht="13.5" customHeight="1" outlineLevel="1">
      <c r="B1361" s="88" t="str">
        <f t="shared" si="1430"/>
        <v>Term loan - B</v>
      </c>
      <c r="C1361" s="38"/>
      <c r="D1361" s="64"/>
      <c r="E1361" s="83">
        <f t="shared" ca="1" si="1435"/>
        <v>0</v>
      </c>
      <c r="F1361" s="397"/>
      <c r="G1361" s="397"/>
      <c r="H1361" s="397"/>
      <c r="I1361" s="83">
        <f t="shared" ca="1" si="1436"/>
        <v>0</v>
      </c>
      <c r="J1361" s="397"/>
      <c r="K1361" s="83">
        <f t="shared" ca="1" si="1437"/>
        <v>0</v>
      </c>
      <c r="L1361" s="397"/>
      <c r="M1361" s="397"/>
      <c r="N1361" s="397">
        <f>L583</f>
        <v>0</v>
      </c>
      <c r="O1361" s="83">
        <f t="shared" ca="1" si="1438"/>
        <v>0</v>
      </c>
    </row>
    <row r="1362" spans="2:15" s="35" customFormat="1" ht="13.5" customHeight="1" outlineLevel="1">
      <c r="B1362" s="88" t="str">
        <f t="shared" si="1430"/>
        <v>Senior note</v>
      </c>
      <c r="C1362" s="38"/>
      <c r="D1362" s="64"/>
      <c r="E1362" s="83">
        <f t="shared" ca="1" si="1435"/>
        <v>0</v>
      </c>
      <c r="F1362" s="397"/>
      <c r="G1362" s="397"/>
      <c r="H1362" s="397"/>
      <c r="I1362" s="83">
        <f t="shared" ca="1" si="1436"/>
        <v>0</v>
      </c>
      <c r="J1362" s="397"/>
      <c r="K1362" s="83">
        <f t="shared" ca="1" si="1437"/>
        <v>0</v>
      </c>
      <c r="L1362" s="397"/>
      <c r="M1362" s="397"/>
      <c r="N1362" s="397">
        <f>L612</f>
        <v>95</v>
      </c>
      <c r="O1362" s="83">
        <f t="shared" ca="1" si="1438"/>
        <v>95</v>
      </c>
    </row>
    <row r="1363" spans="2:15" s="35" customFormat="1" ht="13.5" customHeight="1" outlineLevel="1">
      <c r="B1363" s="88" t="str">
        <f t="shared" si="1430"/>
        <v>Subordinated note</v>
      </c>
      <c r="C1363" s="38"/>
      <c r="D1363" s="64"/>
      <c r="E1363" s="83">
        <f t="shared" ca="1" si="1435"/>
        <v>0</v>
      </c>
      <c r="F1363" s="397"/>
      <c r="G1363" s="397"/>
      <c r="H1363" s="397"/>
      <c r="I1363" s="83">
        <f t="shared" ca="1" si="1436"/>
        <v>0</v>
      </c>
      <c r="J1363" s="397"/>
      <c r="K1363" s="83">
        <f t="shared" ca="1" si="1437"/>
        <v>0</v>
      </c>
      <c r="L1363" s="397"/>
      <c r="M1363" s="397"/>
      <c r="N1363" s="397">
        <f>L641</f>
        <v>47.5</v>
      </c>
      <c r="O1363" s="83">
        <f t="shared" ca="1" si="1438"/>
        <v>47.5</v>
      </c>
    </row>
    <row r="1364" spans="2:15" s="35" customFormat="1" ht="13.5" customHeight="1" outlineLevel="1">
      <c r="B1364" s="88" t="str">
        <f t="shared" si="1430"/>
        <v>Mezzanine</v>
      </c>
      <c r="C1364" s="38"/>
      <c r="D1364" s="64"/>
      <c r="E1364" s="83">
        <f t="shared" ca="1" si="1435"/>
        <v>0</v>
      </c>
      <c r="F1364" s="397"/>
      <c r="G1364" s="397"/>
      <c r="H1364" s="397"/>
      <c r="I1364" s="83">
        <f t="shared" ca="1" si="1436"/>
        <v>0</v>
      </c>
      <c r="J1364" s="397"/>
      <c r="K1364" s="83">
        <f t="shared" ca="1" si="1437"/>
        <v>0</v>
      </c>
      <c r="L1364" s="397"/>
      <c r="M1364" s="397"/>
      <c r="N1364" s="397">
        <f>L670</f>
        <v>0</v>
      </c>
      <c r="O1364" s="83">
        <f t="shared" ca="1" si="1438"/>
        <v>0</v>
      </c>
    </row>
    <row r="1365" spans="2:15" s="35" customFormat="1" ht="13.5" customHeight="1" outlineLevel="1">
      <c r="B1365" s="88" t="str">
        <f t="shared" si="1430"/>
        <v>Seller note</v>
      </c>
      <c r="C1365" s="38"/>
      <c r="D1365" s="64"/>
      <c r="E1365" s="83">
        <f t="shared" ca="1" si="1435"/>
        <v>0</v>
      </c>
      <c r="F1365" s="397"/>
      <c r="G1365" s="397"/>
      <c r="H1365" s="397"/>
      <c r="I1365" s="83">
        <f t="shared" ca="1" si="1436"/>
        <v>0</v>
      </c>
      <c r="J1365" s="397"/>
      <c r="K1365" s="83">
        <f t="shared" ca="1" si="1437"/>
        <v>0</v>
      </c>
      <c r="L1365" s="397"/>
      <c r="M1365" s="397"/>
      <c r="N1365" s="397">
        <f>L699</f>
        <v>0</v>
      </c>
      <c r="O1365" s="83">
        <f t="shared" ca="1" si="1438"/>
        <v>0</v>
      </c>
    </row>
    <row r="1366" spans="2:15" s="35" customFormat="1" ht="13.5" customHeight="1" outlineLevel="1">
      <c r="B1366" s="88" t="str">
        <f t="shared" si="1430"/>
        <v>Convertible bond</v>
      </c>
      <c r="C1366" s="38"/>
      <c r="D1366" s="64"/>
      <c r="E1366" s="83">
        <f t="shared" ca="1" si="1435"/>
        <v>0</v>
      </c>
      <c r="F1366" s="397"/>
      <c r="G1366" s="397"/>
      <c r="H1366" s="397"/>
      <c r="I1366" s="83">
        <f t="shared" ca="1" si="1436"/>
        <v>0</v>
      </c>
      <c r="J1366" s="397"/>
      <c r="K1366" s="83">
        <f t="shared" ca="1" si="1437"/>
        <v>0</v>
      </c>
      <c r="L1366" s="397"/>
      <c r="M1366" s="397"/>
      <c r="N1366" s="397">
        <f>L728</f>
        <v>0</v>
      </c>
      <c r="O1366" s="83">
        <f t="shared" ca="1" si="1438"/>
        <v>0</v>
      </c>
    </row>
    <row r="1367" spans="2:15" s="35" customFormat="1" ht="13.5" customHeight="1" outlineLevel="1">
      <c r="B1367" s="88" t="str">
        <f t="shared" si="1430"/>
        <v>[Debt 8]</v>
      </c>
      <c r="C1367" s="38"/>
      <c r="D1367" s="64"/>
      <c r="E1367" s="83">
        <f t="shared" ca="1" si="1435"/>
        <v>0</v>
      </c>
      <c r="F1367" s="397"/>
      <c r="G1367" s="397"/>
      <c r="H1367" s="397"/>
      <c r="I1367" s="83">
        <f t="shared" ca="1" si="1436"/>
        <v>0</v>
      </c>
      <c r="J1367" s="397"/>
      <c r="K1367" s="83">
        <f t="shared" ca="1" si="1437"/>
        <v>0</v>
      </c>
      <c r="L1367" s="397"/>
      <c r="M1367" s="397"/>
      <c r="N1367" s="397">
        <f>L757</f>
        <v>0</v>
      </c>
      <c r="O1367" s="83">
        <f t="shared" ca="1" si="1438"/>
        <v>0</v>
      </c>
    </row>
    <row r="1368" spans="2:15" s="35" customFormat="1" ht="13.5" customHeight="1" outlineLevel="1">
      <c r="B1368" s="81" t="str">
        <f t="shared" si="1430"/>
        <v>Total debt</v>
      </c>
      <c r="C1368" s="81"/>
      <c r="D1368" s="225"/>
      <c r="E1368" s="225">
        <f ca="1">SUM(E1358:OFFSET(E1368,-1,0))</f>
        <v>230</v>
      </c>
      <c r="F1368" s="226">
        <f ca="1">SUM(F1358:OFFSET(F1368,-1,0))</f>
        <v>0</v>
      </c>
      <c r="G1368" s="226">
        <f ca="1">SUM(G1358:OFFSET(G1368,-1,0))</f>
        <v>0</v>
      </c>
      <c r="H1368" s="226">
        <f ca="1">SUM(H1358:OFFSET(H1368,-1,0))</f>
        <v>0</v>
      </c>
      <c r="I1368" s="225">
        <f ca="1">SUM(I1358:OFFSET(I1368,-1,0))</f>
        <v>230</v>
      </c>
      <c r="J1368" s="226">
        <f ca="1">SUM(J1358:OFFSET(J1368,-1,0))</f>
        <v>0</v>
      </c>
      <c r="K1368" s="225">
        <f ca="1">SUM(K1358:OFFSET(K1368,-1,0))</f>
        <v>230</v>
      </c>
      <c r="L1368" s="226">
        <f ca="1">SUM(L1358:OFFSET(L1368,-1,0))</f>
        <v>0</v>
      </c>
      <c r="M1368" s="226">
        <f ca="1">SUM(M1358:OFFSET(M1368,-1,0))</f>
        <v>-230</v>
      </c>
      <c r="N1368" s="226">
        <f ca="1">SUM(N1358:OFFSET(N1368,-1,0))</f>
        <v>192.5</v>
      </c>
      <c r="O1368" s="225">
        <f ca="1">SUM(O1358:OFFSET(O1368,-1,0))</f>
        <v>192.5</v>
      </c>
    </row>
    <row r="1369" spans="2:15" s="35" customFormat="1" ht="13.5" customHeight="1" outlineLevel="1">
      <c r="B1369" s="38" t="str">
        <f t="shared" si="1430"/>
        <v>Net deferred tax liability / (asset)</v>
      </c>
      <c r="C1369" s="38"/>
      <c r="D1369" s="64"/>
      <c r="E1369" s="83">
        <f ca="1">J284</f>
        <v>-8.8279999999999994</v>
      </c>
      <c r="F1369" s="397"/>
      <c r="G1369" s="397"/>
      <c r="H1369" s="397">
        <f ca="1">V34-V30</f>
        <v>43.559372811171869</v>
      </c>
      <c r="I1369" s="83">
        <f t="shared" ref="I1369:I1370" ca="1" si="1439">SUM(E1369:H1369)</f>
        <v>34.731372811171866</v>
      </c>
      <c r="J1369" s="397"/>
      <c r="K1369" s="83">
        <f ca="1">SUM(I1369:J1369)</f>
        <v>34.731372811171866</v>
      </c>
      <c r="L1369" s="397"/>
      <c r="M1369" s="530">
        <v>0</v>
      </c>
      <c r="N1369" s="397">
        <f>K1312*tax</f>
        <v>2.2749999999999999</v>
      </c>
      <c r="O1369" s="83">
        <f ca="1">SUM(K1369:N1369)</f>
        <v>37.006372811171865</v>
      </c>
    </row>
    <row r="1370" spans="2:15" s="35" customFormat="1" ht="13.5" customHeight="1" outlineLevel="1">
      <c r="B1370" s="38" t="str">
        <f t="shared" si="1430"/>
        <v>Other long-term liabilities</v>
      </c>
      <c r="C1370" s="38"/>
      <c r="D1370" s="64"/>
      <c r="E1370" s="83">
        <f ca="1">J285</f>
        <v>17.917000000000002</v>
      </c>
      <c r="F1370" s="397"/>
      <c r="G1370" s="397"/>
      <c r="H1370" s="397"/>
      <c r="I1370" s="83">
        <f t="shared" ca="1" si="1439"/>
        <v>17.917000000000002</v>
      </c>
      <c r="J1370" s="397"/>
      <c r="K1370" s="83">
        <f ca="1">SUM(I1370:J1370)</f>
        <v>17.917000000000002</v>
      </c>
      <c r="L1370" s="397"/>
      <c r="M1370" s="397"/>
      <c r="N1370" s="397"/>
      <c r="O1370" s="83">
        <f ca="1">SUM(K1370:N1370)</f>
        <v>17.917000000000002</v>
      </c>
    </row>
    <row r="1371" spans="2:15" s="35" customFormat="1" ht="13.5" customHeight="1" outlineLevel="1">
      <c r="B1371" s="221" t="str">
        <f t="shared" si="1430"/>
        <v>Total liabilities</v>
      </c>
      <c r="C1371" s="221"/>
      <c r="D1371" s="227"/>
      <c r="E1371" s="227">
        <f t="shared" ref="E1371:J1371" ca="1" si="1440">SUM(E1356:E1357,E1368:E1370)</f>
        <v>339.13584643510058</v>
      </c>
      <c r="F1371" s="178">
        <f t="shared" ca="1" si="1440"/>
        <v>0</v>
      </c>
      <c r="G1371" s="178">
        <f t="shared" ca="1" si="1440"/>
        <v>0</v>
      </c>
      <c r="H1371" s="178">
        <f t="shared" ca="1" si="1440"/>
        <v>43.559372811171869</v>
      </c>
      <c r="I1371" s="227">
        <f t="shared" ca="1" si="1440"/>
        <v>382.69521924627236</v>
      </c>
      <c r="J1371" s="178">
        <f t="shared" ca="1" si="1440"/>
        <v>0</v>
      </c>
      <c r="K1371" s="227">
        <f t="shared" ref="K1371:L1371" ca="1" si="1441">SUM(K1356:K1357,K1368:K1370)</f>
        <v>382.69521924627236</v>
      </c>
      <c r="L1371" s="178">
        <f t="shared" ca="1" si="1441"/>
        <v>0</v>
      </c>
      <c r="M1371" s="178">
        <f t="shared" ref="M1371" ca="1" si="1442">SUM(M1356:M1357,M1368:M1370)</f>
        <v>-230</v>
      </c>
      <c r="N1371" s="178">
        <f t="shared" ref="N1371" ca="1" si="1443">SUM(N1356:N1357,N1368:N1370)</f>
        <v>194.77500000000001</v>
      </c>
      <c r="O1371" s="227">
        <f ca="1">SUM(O1356:O1357,O1368:O1370)</f>
        <v>347.47021924627234</v>
      </c>
    </row>
    <row r="1372" spans="2:15" s="35" customFormat="1" ht="13.5" customHeight="1" outlineLevel="1">
      <c r="B1372" s="88" t="str">
        <f t="shared" si="1430"/>
        <v>Noncontrolling (minority) interest</v>
      </c>
      <c r="C1372" s="38"/>
      <c r="D1372" s="64"/>
      <c r="E1372" s="83">
        <f t="shared" ref="E1372:E1377" ca="1" si="1444">J287</f>
        <v>0</v>
      </c>
      <c r="F1372" s="397"/>
      <c r="G1372" s="397"/>
      <c r="H1372" s="397"/>
      <c r="I1372" s="83">
        <f t="shared" ref="I1372:I1374" ca="1" si="1445">SUM(E1372:H1372)</f>
        <v>0</v>
      </c>
      <c r="J1372" s="397"/>
      <c r="K1372" s="83">
        <f t="shared" ref="K1372:K1377" ca="1" si="1446">SUM(I1372:J1372)</f>
        <v>0</v>
      </c>
      <c r="L1372" s="397"/>
      <c r="M1372" s="397"/>
      <c r="N1372" s="397"/>
      <c r="O1372" s="83">
        <f t="shared" ref="O1372:O1377" ca="1" si="1447">SUM(K1372:N1372)</f>
        <v>0</v>
      </c>
    </row>
    <row r="1373" spans="2:15" s="35" customFormat="1" ht="13.5" customHeight="1" outlineLevel="1">
      <c r="B1373" s="88" t="str">
        <f t="shared" si="1430"/>
        <v>Preferred Stock - A</v>
      </c>
      <c r="C1373" s="38"/>
      <c r="D1373" s="64"/>
      <c r="E1373" s="83">
        <f t="shared" ca="1" si="1444"/>
        <v>0</v>
      </c>
      <c r="F1373" s="397"/>
      <c r="G1373" s="397"/>
      <c r="H1373" s="397"/>
      <c r="I1373" s="83">
        <f t="shared" ca="1" si="1445"/>
        <v>0</v>
      </c>
      <c r="J1373" s="397"/>
      <c r="K1373" s="83">
        <f t="shared" ca="1" si="1446"/>
        <v>0</v>
      </c>
      <c r="L1373" s="397"/>
      <c r="M1373" s="397"/>
      <c r="N1373" s="397">
        <f>M1262-L792</f>
        <v>9.5</v>
      </c>
      <c r="O1373" s="83">
        <f t="shared" ca="1" si="1447"/>
        <v>9.5</v>
      </c>
    </row>
    <row r="1374" spans="2:15" s="35" customFormat="1" ht="13.5" customHeight="1" outlineLevel="1">
      <c r="B1374" s="88" t="str">
        <f t="shared" si="1430"/>
        <v>Preferred Stock - B</v>
      </c>
      <c r="C1374" s="38"/>
      <c r="D1374" s="64"/>
      <c r="E1374" s="83">
        <f t="shared" ca="1" si="1444"/>
        <v>0</v>
      </c>
      <c r="F1374" s="397"/>
      <c r="G1374" s="397"/>
      <c r="H1374" s="397"/>
      <c r="I1374" s="83">
        <f t="shared" ca="1" si="1445"/>
        <v>0</v>
      </c>
      <c r="J1374" s="397"/>
      <c r="K1374" s="83">
        <f t="shared" ca="1" si="1446"/>
        <v>0</v>
      </c>
      <c r="L1374" s="397"/>
      <c r="M1374" s="397"/>
      <c r="N1374" s="397">
        <f>M1263-L821</f>
        <v>0</v>
      </c>
      <c r="O1374" s="83">
        <f t="shared" ca="1" si="1447"/>
        <v>0</v>
      </c>
    </row>
    <row r="1375" spans="2:15" s="35" customFormat="1" ht="13.5" customHeight="1" outlineLevel="1">
      <c r="B1375" s="88" t="str">
        <f t="shared" si="1430"/>
        <v>Common stock, par value</v>
      </c>
      <c r="C1375" s="38"/>
      <c r="D1375" s="64"/>
      <c r="E1375" s="83">
        <f t="shared" ca="1" si="1444"/>
        <v>12.609</v>
      </c>
      <c r="F1375" s="397"/>
      <c r="G1375" s="397"/>
      <c r="H1375" s="397"/>
      <c r="I1375" s="83">
        <f ca="1">SUM(E1375:H1375)</f>
        <v>12.609</v>
      </c>
      <c r="J1375" s="397">
        <f ca="1">IF(LBO,-I1375,0)</f>
        <v>-12.609</v>
      </c>
      <c r="K1375" s="83">
        <f t="shared" ca="1" si="1446"/>
        <v>0</v>
      </c>
      <c r="L1375" s="397"/>
      <c r="M1375" s="397"/>
      <c r="N1375" s="397"/>
      <c r="O1375" s="83">
        <f t="shared" ca="1" si="1447"/>
        <v>0</v>
      </c>
    </row>
    <row r="1376" spans="2:15" s="35" customFormat="1" ht="13.5" customHeight="1" outlineLevel="1">
      <c r="B1376" s="88" t="str">
        <f t="shared" si="1430"/>
        <v>Additional paid-in capital (APIC)</v>
      </c>
      <c r="C1376" s="38"/>
      <c r="D1376" s="64"/>
      <c r="E1376" s="83">
        <f t="shared" ca="1" si="1444"/>
        <v>28.159000000000002</v>
      </c>
      <c r="F1376" s="397"/>
      <c r="G1376" s="397"/>
      <c r="H1376" s="397"/>
      <c r="I1376" s="83">
        <f ca="1">SUM(E1376:H1376)</f>
        <v>28.159000000000002</v>
      </c>
      <c r="J1376" s="397">
        <f ca="1">IF(LBO,-I1376+O1320,0)</f>
        <v>-28.159000000000002</v>
      </c>
      <c r="K1376" s="83">
        <f t="shared" ca="1" si="1446"/>
        <v>0</v>
      </c>
      <c r="L1376" s="397"/>
      <c r="M1376" s="397"/>
      <c r="N1376" s="397">
        <f ca="1">M1264+M1265-L1312*(1-tax)</f>
        <v>530.52331193147791</v>
      </c>
      <c r="O1376" s="83">
        <f t="shared" ca="1" si="1447"/>
        <v>530.52331193147791</v>
      </c>
    </row>
    <row r="1377" spans="1:22" s="35" customFormat="1" ht="13.5" customHeight="1" outlineLevel="1">
      <c r="B1377" s="88" t="str">
        <f t="shared" si="1430"/>
        <v>Retained earnings</v>
      </c>
      <c r="C1377" s="38"/>
      <c r="D1377" s="64"/>
      <c r="E1377" s="83">
        <f t="shared" ca="1" si="1444"/>
        <v>87.163761443750005</v>
      </c>
      <c r="F1377" s="397"/>
      <c r="G1377" s="397"/>
      <c r="H1377" s="397"/>
      <c r="I1377" s="83">
        <f ca="1">SUM(E1377:H1377)</f>
        <v>87.163761443750005</v>
      </c>
      <c r="J1377" s="397">
        <f ca="1">IF(LBO,-I1377+V50,0)</f>
        <v>-87.163761443750005</v>
      </c>
      <c r="K1377" s="83">
        <f t="shared" ca="1" si="1446"/>
        <v>0</v>
      </c>
      <c r="L1377" s="397">
        <f ca="1">-M1284*(1-tax)</f>
        <v>-11.743490403124998</v>
      </c>
      <c r="M1377" s="397">
        <f>-S1320*(1-tax)-M1369</f>
        <v>-2.9900000000000007</v>
      </c>
      <c r="N1377" s="397"/>
      <c r="O1377" s="83">
        <f t="shared" ca="1" si="1447"/>
        <v>-14.733490403124998</v>
      </c>
    </row>
    <row r="1378" spans="1:22" s="35" customFormat="1" ht="13.5" customHeight="1" outlineLevel="1">
      <c r="B1378" s="138" t="str">
        <f t="shared" si="1430"/>
        <v>Total shareholders' equity</v>
      </c>
      <c r="C1378" s="52"/>
      <c r="D1378" s="165"/>
      <c r="E1378" s="165">
        <f t="shared" ref="E1378:N1378" ca="1" si="1448">SUM(E1372:E1377)</f>
        <v>127.93176144375001</v>
      </c>
      <c r="F1378" s="216">
        <f t="shared" si="1448"/>
        <v>0</v>
      </c>
      <c r="G1378" s="216">
        <f t="shared" si="1448"/>
        <v>0</v>
      </c>
      <c r="H1378" s="216">
        <f t="shared" si="1448"/>
        <v>0</v>
      </c>
      <c r="I1378" s="165">
        <f t="shared" ca="1" si="1448"/>
        <v>127.93176144375001</v>
      </c>
      <c r="J1378" s="216">
        <f t="shared" ca="1" si="1448"/>
        <v>-127.93176144375001</v>
      </c>
      <c r="K1378" s="165">
        <f t="shared" ca="1" si="1448"/>
        <v>0</v>
      </c>
      <c r="L1378" s="216">
        <f t="shared" ca="1" si="1448"/>
        <v>-11.743490403124998</v>
      </c>
      <c r="M1378" s="216">
        <f t="shared" si="1448"/>
        <v>-2.9900000000000007</v>
      </c>
      <c r="N1378" s="216">
        <f t="shared" ca="1" si="1448"/>
        <v>540.02331193147791</v>
      </c>
      <c r="O1378" s="165">
        <f ca="1">SUM(O1372:O1377)</f>
        <v>525.28982152835295</v>
      </c>
    </row>
    <row r="1379" spans="1:22" s="35" customFormat="1" ht="13.5" customHeight="1" outlineLevel="1">
      <c r="B1379" s="228" t="str">
        <f t="shared" si="1430"/>
        <v>Liabilities &amp; shareholders' equity</v>
      </c>
      <c r="C1379" s="221"/>
      <c r="D1379" s="222"/>
      <c r="E1379" s="222">
        <f t="shared" ref="E1379:N1379" ca="1" si="1449">E1378+E1371</f>
        <v>467.06760787885059</v>
      </c>
      <c r="F1379" s="105">
        <f t="shared" ca="1" si="1449"/>
        <v>0</v>
      </c>
      <c r="G1379" s="105">
        <f t="shared" ca="1" si="1449"/>
        <v>0</v>
      </c>
      <c r="H1379" s="105">
        <f t="shared" ca="1" si="1449"/>
        <v>43.559372811171869</v>
      </c>
      <c r="I1379" s="222">
        <f t="shared" ca="1" si="1449"/>
        <v>510.62698069002238</v>
      </c>
      <c r="J1379" s="105">
        <f t="shared" ca="1" si="1449"/>
        <v>-127.93176144375001</v>
      </c>
      <c r="K1379" s="222">
        <f t="shared" ca="1" si="1449"/>
        <v>382.69521924627236</v>
      </c>
      <c r="L1379" s="105">
        <f t="shared" ca="1" si="1449"/>
        <v>-11.743490403124998</v>
      </c>
      <c r="M1379" s="105">
        <f t="shared" ca="1" si="1449"/>
        <v>-232.99</v>
      </c>
      <c r="N1379" s="105">
        <f t="shared" ca="1" si="1449"/>
        <v>734.79831193147788</v>
      </c>
      <c r="O1379" s="222">
        <f ca="1">O1378+O1371</f>
        <v>872.76004077462528</v>
      </c>
      <c r="Q1379" s="106"/>
    </row>
    <row r="1380" spans="1:22" s="35" customFormat="1" ht="13.5" customHeight="1" outlineLevel="1">
      <c r="Q1380" s="106"/>
    </row>
    <row r="1381" spans="1:22" s="35" customFormat="1" ht="13.5" customHeight="1" outlineLevel="1">
      <c r="B1381" s="230" t="s">
        <v>185</v>
      </c>
      <c r="C1381" s="229"/>
      <c r="D1381" s="231"/>
      <c r="E1381" s="231">
        <f ca="1">E1379-E1347</f>
        <v>0</v>
      </c>
      <c r="F1381" s="231"/>
      <c r="G1381" s="231"/>
      <c r="H1381" s="231"/>
      <c r="I1381" s="231"/>
      <c r="J1381" s="231"/>
      <c r="K1381" s="231">
        <f t="shared" ref="K1381:N1381" ca="1" si="1450">K1379-K1347</f>
        <v>0</v>
      </c>
      <c r="L1381" s="231">
        <f t="shared" ca="1" si="1450"/>
        <v>0</v>
      </c>
      <c r="M1381" s="231">
        <f t="shared" ca="1" si="1450"/>
        <v>0</v>
      </c>
      <c r="N1381" s="231">
        <f t="shared" ca="1" si="1450"/>
        <v>0</v>
      </c>
      <c r="O1381" s="231">
        <f ca="1">O1379-O1347</f>
        <v>0</v>
      </c>
    </row>
    <row r="1382" spans="1:22" s="35" customFormat="1" ht="5.0999999999999996" customHeight="1" outlineLevel="1" thickBot="1">
      <c r="B1382" s="121"/>
      <c r="C1382" s="121"/>
      <c r="D1382" s="121"/>
      <c r="E1382" s="121"/>
      <c r="F1382" s="121"/>
      <c r="G1382" s="121"/>
      <c r="H1382" s="121"/>
      <c r="I1382" s="121"/>
      <c r="J1382" s="121"/>
      <c r="K1382" s="121"/>
      <c r="L1382" s="121"/>
      <c r="M1382" s="121"/>
      <c r="N1382" s="121"/>
      <c r="O1382" s="121"/>
      <c r="P1382" s="121"/>
      <c r="Q1382" s="121"/>
      <c r="R1382" s="121"/>
      <c r="S1382" s="121"/>
      <c r="T1382" s="121"/>
      <c r="U1382" s="121"/>
      <c r="V1382" s="121"/>
    </row>
    <row r="1383" spans="1:22" s="35" customFormat="1" ht="13.5" customHeight="1" outlineLevel="1"/>
    <row r="1384" spans="1:22" s="35" customFormat="1" ht="13.5" customHeight="1" outlineLevel="1" thickBot="1"/>
    <row r="1385" spans="1:22" s="35" customFormat="1" ht="20.100000000000001" customHeight="1" thickTop="1">
      <c r="A1385" s="41" t="s">
        <v>426</v>
      </c>
      <c r="B1385" s="42" t="s">
        <v>573</v>
      </c>
      <c r="C1385" s="43"/>
      <c r="D1385" s="44"/>
      <c r="E1385" s="44"/>
      <c r="F1385" s="44"/>
      <c r="G1385" s="44"/>
      <c r="H1385" s="44"/>
      <c r="I1385" s="44"/>
      <c r="J1385" s="44"/>
      <c r="K1385" s="44"/>
      <c r="L1385" s="44"/>
      <c r="M1385" s="44"/>
      <c r="N1385" s="44"/>
      <c r="O1385" s="44"/>
      <c r="P1385" s="44"/>
      <c r="Q1385" s="44"/>
      <c r="R1385" s="44"/>
      <c r="S1385" s="44"/>
      <c r="T1385" s="44"/>
      <c r="U1385" s="44"/>
      <c r="V1385" s="44"/>
    </row>
    <row r="1386" spans="1:22" s="35" customFormat="1" outlineLevel="1">
      <c r="B1386" s="154"/>
      <c r="V1386" s="155" t="str">
        <f ca="1">err_msg</f>
        <v/>
      </c>
    </row>
    <row r="1387" spans="1:22" s="203" customFormat="1" ht="13.5" customHeight="1" outlineLevel="1">
      <c r="F1387" s="204"/>
      <c r="G1387" s="204"/>
      <c r="H1387" s="204"/>
      <c r="I1387" s="204"/>
      <c r="L1387" s="261"/>
      <c r="M1387" s="126" t="str">
        <f>M$144</f>
        <v>3 Quarters</v>
      </c>
      <c r="N1387" s="205" t="str">
        <f>N$144</f>
        <v>Fiscal Years Ending September 30,</v>
      </c>
      <c r="O1387" s="205"/>
      <c r="P1387" s="205"/>
      <c r="Q1387" s="205"/>
      <c r="R1387" s="205"/>
      <c r="S1387" s="205"/>
      <c r="T1387" s="205"/>
      <c r="U1387" s="205"/>
      <c r="V1387" s="205"/>
    </row>
    <row r="1388" spans="1:22" s="203" customFormat="1" outlineLevel="1">
      <c r="F1388" s="265"/>
      <c r="G1388" s="265"/>
      <c r="H1388" s="265"/>
      <c r="I1388" s="265"/>
      <c r="L1388" s="109" t="s">
        <v>241</v>
      </c>
      <c r="M1388" s="109" t="str">
        <f t="shared" ref="M1388" si="1451">M$145</f>
        <v>Ending</v>
      </c>
      <c r="N1388" s="109">
        <f>N$145</f>
        <v>2</v>
      </c>
      <c r="O1388" s="109">
        <f t="shared" ref="O1388:V1388" si="1452">O$145</f>
        <v>3</v>
      </c>
      <c r="P1388" s="109">
        <f t="shared" si="1452"/>
        <v>4</v>
      </c>
      <c r="Q1388" s="109">
        <f t="shared" si="1452"/>
        <v>5</v>
      </c>
      <c r="R1388" s="109">
        <f t="shared" si="1452"/>
        <v>6</v>
      </c>
      <c r="S1388" s="109">
        <f t="shared" si="1452"/>
        <v>7</v>
      </c>
      <c r="T1388" s="109">
        <f t="shared" si="1452"/>
        <v>8</v>
      </c>
      <c r="U1388" s="109">
        <f t="shared" si="1452"/>
        <v>9</v>
      </c>
      <c r="V1388" s="109">
        <f t="shared" si="1452"/>
        <v>10</v>
      </c>
    </row>
    <row r="1389" spans="1:22" s="203" customFormat="1" ht="13.5" customHeight="1" outlineLevel="1" thickBot="1">
      <c r="B1389" s="130" t="s">
        <v>0</v>
      </c>
      <c r="C1389" s="208"/>
      <c r="D1389" s="208"/>
      <c r="E1389" s="208"/>
      <c r="F1389" s="266"/>
      <c r="G1389" s="266"/>
      <c r="H1389" s="266"/>
      <c r="I1389" s="266"/>
      <c r="J1389" s="208"/>
      <c r="K1389" s="208"/>
      <c r="L1389" s="209">
        <f>close</f>
        <v>45291</v>
      </c>
      <c r="M1389" s="209">
        <f t="shared" ref="M1389" si="1453">M$146</f>
        <v>45565</v>
      </c>
      <c r="N1389" s="211">
        <f>N$146</f>
        <v>45930</v>
      </c>
      <c r="O1389" s="211">
        <f t="shared" ref="O1389:V1389" si="1454">O$146</f>
        <v>46295</v>
      </c>
      <c r="P1389" s="211">
        <f t="shared" si="1454"/>
        <v>46660</v>
      </c>
      <c r="Q1389" s="211">
        <f t="shared" si="1454"/>
        <v>47026</v>
      </c>
      <c r="R1389" s="211">
        <f t="shared" si="1454"/>
        <v>47391</v>
      </c>
      <c r="S1389" s="211">
        <f t="shared" si="1454"/>
        <v>47756</v>
      </c>
      <c r="T1389" s="211">
        <f t="shared" si="1454"/>
        <v>48121</v>
      </c>
      <c r="U1389" s="211">
        <f t="shared" si="1454"/>
        <v>48487</v>
      </c>
      <c r="V1389" s="211">
        <f t="shared" si="1454"/>
        <v>48852</v>
      </c>
    </row>
    <row r="1390" spans="1:22" ht="5.0999999999999996" customHeight="1" outlineLevel="1"/>
    <row r="1391" spans="1:22" ht="13.5" customHeight="1" outlineLevel="1">
      <c r="B1391" s="38" t="s">
        <v>248</v>
      </c>
      <c r="M1391" s="190">
        <f>(M1389-$L$1389)/365</f>
        <v>0.75068493150684934</v>
      </c>
      <c r="N1391" s="190">
        <f t="shared" ref="N1391:V1391" si="1455">(N1389-$L$1389)/365</f>
        <v>1.7506849315068493</v>
      </c>
      <c r="O1391" s="190">
        <f t="shared" si="1455"/>
        <v>2.7506849315068491</v>
      </c>
      <c r="P1391" s="190">
        <f t="shared" si="1455"/>
        <v>3.7506849315068491</v>
      </c>
      <c r="Q1391" s="190">
        <f t="shared" si="1455"/>
        <v>4.7534246575342465</v>
      </c>
      <c r="R1391" s="190">
        <f t="shared" si="1455"/>
        <v>5.7534246575342465</v>
      </c>
      <c r="S1391" s="190">
        <f t="shared" si="1455"/>
        <v>6.7534246575342465</v>
      </c>
      <c r="T1391" s="190">
        <f t="shared" si="1455"/>
        <v>7.7534246575342465</v>
      </c>
      <c r="U1391" s="190">
        <f t="shared" si="1455"/>
        <v>8.7561643835616429</v>
      </c>
      <c r="V1391" s="190">
        <f t="shared" si="1455"/>
        <v>9.7561643835616429</v>
      </c>
    </row>
    <row r="1392" spans="1:22" ht="13.5" customHeight="1" outlineLevel="1">
      <c r="M1392" s="551"/>
      <c r="N1392" s="551"/>
      <c r="O1392" s="551"/>
      <c r="P1392" s="551"/>
      <c r="Q1392" s="551"/>
      <c r="R1392" s="551"/>
      <c r="S1392" s="551"/>
      <c r="T1392" s="551"/>
      <c r="U1392" s="551"/>
      <c r="V1392" s="551"/>
    </row>
    <row r="1393" spans="2:22" s="35" customFormat="1" ht="13.5" customHeight="1" outlineLevel="1">
      <c r="B1393" s="46" t="s">
        <v>260</v>
      </c>
      <c r="C1393" s="47"/>
      <c r="D1393" s="47"/>
      <c r="E1393" s="47"/>
      <c r="F1393" s="47"/>
      <c r="G1393" s="47"/>
      <c r="H1393" s="47"/>
      <c r="I1393" s="47"/>
      <c r="J1393" s="47"/>
      <c r="K1393" s="47"/>
      <c r="L1393" s="47"/>
      <c r="M1393" s="47"/>
      <c r="N1393" s="47"/>
      <c r="O1393" s="47"/>
      <c r="P1393" s="47"/>
      <c r="Q1393" s="47"/>
      <c r="R1393" s="47"/>
      <c r="S1393" s="47"/>
      <c r="T1393" s="47"/>
      <c r="U1393" s="47"/>
      <c r="V1393" s="48"/>
    </row>
    <row r="1394" spans="2:22" ht="5.0999999999999996" customHeight="1" outlineLevel="1">
      <c r="B1394" s="143"/>
      <c r="F1394" s="398"/>
      <c r="G1394" s="398"/>
      <c r="H1394" s="398"/>
    </row>
    <row r="1395" spans="2:22" ht="13.5" customHeight="1" outlineLevel="1">
      <c r="B1395" s="38" t="s">
        <v>21</v>
      </c>
      <c r="F1395" s="324"/>
      <c r="G1395" s="324"/>
      <c r="H1395" s="324"/>
      <c r="I1395" s="324"/>
      <c r="J1395" s="324"/>
      <c r="K1395" s="324"/>
      <c r="L1395" s="197"/>
      <c r="M1395" s="54">
        <f t="shared" ref="M1395:V1395" ca="1" si="1456">M154</f>
        <v>94.874999999999972</v>
      </c>
      <c r="N1395" s="54">
        <f t="shared" ca="1" si="1456"/>
        <v>155.90000000000003</v>
      </c>
      <c r="O1395" s="54">
        <f t="shared" ca="1" si="1456"/>
        <v>160.09999999999991</v>
      </c>
      <c r="P1395" s="54">
        <f t="shared" ca="1" si="1456"/>
        <v>161.26136025504778</v>
      </c>
      <c r="Q1395" s="54">
        <f t="shared" ca="1" si="1456"/>
        <v>162.43308759420017</v>
      </c>
      <c r="R1395" s="54">
        <f t="shared" ca="1" si="1456"/>
        <v>163.61527456103465</v>
      </c>
      <c r="S1395" s="54">
        <f t="shared" ca="1" si="1456"/>
        <v>164.80801452523522</v>
      </c>
      <c r="T1395" s="54">
        <f t="shared" ca="1" si="1456"/>
        <v>166.01140168996628</v>
      </c>
      <c r="U1395" s="54">
        <f t="shared" ca="1" si="1456"/>
        <v>167.22553109931346</v>
      </c>
      <c r="V1395" s="54">
        <f t="shared" ca="1" si="1456"/>
        <v>168.45049864578976</v>
      </c>
    </row>
    <row r="1396" spans="2:22" s="35" customFormat="1" ht="13.5" customHeight="1" outlineLevel="1">
      <c r="B1396" s="38"/>
      <c r="C1396" s="38"/>
      <c r="D1396" s="38"/>
      <c r="E1396" s="38"/>
      <c r="F1396" s="324"/>
      <c r="G1396" s="324"/>
      <c r="H1396" s="324"/>
      <c r="I1396" s="324"/>
      <c r="J1396" s="324"/>
      <c r="K1396" s="324"/>
      <c r="L1396" s="197"/>
      <c r="M1396" s="54"/>
      <c r="N1396" s="54"/>
      <c r="O1396" s="54"/>
      <c r="P1396" s="54"/>
      <c r="Q1396" s="54"/>
      <c r="R1396" s="54"/>
      <c r="S1396" s="54"/>
      <c r="T1396" s="54"/>
      <c r="U1396" s="54"/>
      <c r="V1396" s="54"/>
    </row>
    <row r="1397" spans="2:22" s="35" customFormat="1" outlineLevel="1">
      <c r="B1397" s="38" t="s">
        <v>31</v>
      </c>
      <c r="C1397" s="38"/>
      <c r="D1397" s="38"/>
      <c r="E1397" s="38"/>
      <c r="F1397" s="139"/>
      <c r="G1397" s="139"/>
      <c r="H1397" s="139"/>
      <c r="I1397" s="399"/>
      <c r="J1397" s="399"/>
      <c r="K1397" s="399"/>
      <c r="L1397" s="197"/>
      <c r="M1397" s="54">
        <f t="shared" ref="M1397:V1397" ca="1" si="1457">M156</f>
        <v>82.692857142857122</v>
      </c>
      <c r="N1397" s="54">
        <f t="shared" ca="1" si="1457"/>
        <v>139.6571428571429</v>
      </c>
      <c r="O1397" s="54">
        <f t="shared" ca="1" si="1457"/>
        <v>143.85714285714278</v>
      </c>
      <c r="P1397" s="54">
        <f t="shared" ca="1" si="1457"/>
        <v>144.89263701229692</v>
      </c>
      <c r="Q1397" s="54">
        <f t="shared" ca="1" si="1457"/>
        <v>145.93737468594549</v>
      </c>
      <c r="R1397" s="54">
        <f t="shared" ca="1" si="1457"/>
        <v>146.99143839196239</v>
      </c>
      <c r="S1397" s="54">
        <f t="shared" ca="1" si="1457"/>
        <v>148.05491138079609</v>
      </c>
      <c r="T1397" s="54">
        <f t="shared" ca="1" si="1457"/>
        <v>150.73502050318723</v>
      </c>
      <c r="U1397" s="54">
        <f t="shared" ca="1" si="1457"/>
        <v>152.35327907394588</v>
      </c>
      <c r="V1397" s="54">
        <f t="shared" ca="1" si="1457"/>
        <v>153.4454868786442</v>
      </c>
    </row>
    <row r="1398" spans="2:22" s="35" customFormat="1" ht="13.5" customHeight="1" outlineLevel="1">
      <c r="B1398" s="38" t="s">
        <v>229</v>
      </c>
      <c r="C1398" s="38"/>
      <c r="D1398" s="38"/>
      <c r="E1398" s="38"/>
      <c r="F1398" s="196"/>
      <c r="G1398" s="196"/>
      <c r="H1398" s="196"/>
      <c r="I1398" s="196"/>
      <c r="J1398" s="196"/>
      <c r="K1398" s="196"/>
      <c r="L1398" s="38"/>
      <c r="M1398" s="57">
        <f t="shared" ref="M1398:V1398" ca="1" si="1458">-M1397*M235</f>
        <v>-28.942748078571427</v>
      </c>
      <c r="N1398" s="57">
        <f t="shared" ca="1" si="1458"/>
        <v>-48.880418971428597</v>
      </c>
      <c r="O1398" s="57">
        <f t="shared" ca="1" si="1458"/>
        <v>-50.350431571428551</v>
      </c>
      <c r="P1398" s="57">
        <f t="shared" ca="1" si="1458"/>
        <v>-50.71285763221497</v>
      </c>
      <c r="Q1398" s="57">
        <f t="shared" ca="1" si="1458"/>
        <v>-51.078518952204988</v>
      </c>
      <c r="R1398" s="57">
        <f t="shared" ca="1" si="1458"/>
        <v>-51.447444411502019</v>
      </c>
      <c r="S1398" s="57">
        <f t="shared" ca="1" si="1458"/>
        <v>-51.819663148012779</v>
      </c>
      <c r="T1398" s="57">
        <f t="shared" ca="1" si="1458"/>
        <v>-52.757709381177051</v>
      </c>
      <c r="U1398" s="57">
        <f t="shared" ca="1" si="1458"/>
        <v>-53.324104735718294</v>
      </c>
      <c r="V1398" s="57">
        <f t="shared" ca="1" si="1458"/>
        <v>-53.706380743986116</v>
      </c>
    </row>
    <row r="1399" spans="2:22" s="35" customFormat="1" outlineLevel="1">
      <c r="B1399" s="52" t="s">
        <v>231</v>
      </c>
      <c r="C1399" s="52"/>
      <c r="D1399" s="52"/>
      <c r="E1399" s="52"/>
      <c r="F1399" s="400"/>
      <c r="G1399" s="400"/>
      <c r="H1399" s="400"/>
      <c r="I1399" s="401"/>
      <c r="J1399" s="401"/>
      <c r="K1399" s="401"/>
      <c r="L1399" s="402"/>
      <c r="M1399" s="87">
        <f ca="1">SUM(M1397:M1398)</f>
        <v>53.750109064285695</v>
      </c>
      <c r="N1399" s="87">
        <f ca="1">SUM(N1397:N1398)</f>
        <v>90.776723885714304</v>
      </c>
      <c r="O1399" s="87">
        <f t="shared" ref="O1399:Q1399" ca="1" si="1459">SUM(O1397:O1398)</f>
        <v>93.506711285714232</v>
      </c>
      <c r="P1399" s="87">
        <f t="shared" ca="1" si="1459"/>
        <v>94.179779380081953</v>
      </c>
      <c r="Q1399" s="87">
        <f t="shared" ca="1" si="1459"/>
        <v>94.858855733740498</v>
      </c>
      <c r="R1399" s="87">
        <f t="shared" ref="R1399" ca="1" si="1460">SUM(R1397:R1398)</f>
        <v>95.543993980460371</v>
      </c>
      <c r="S1399" s="87">
        <f t="shared" ref="S1399" ca="1" si="1461">SUM(S1397:S1398)</f>
        <v>96.235248232783306</v>
      </c>
      <c r="T1399" s="87">
        <f t="shared" ref="T1399" ca="1" si="1462">SUM(T1397:T1398)</f>
        <v>97.977311122010178</v>
      </c>
      <c r="U1399" s="87">
        <f t="shared" ref="U1399" ca="1" si="1463">SUM(U1397:U1398)</f>
        <v>99.029174338227591</v>
      </c>
      <c r="V1399" s="87">
        <f t="shared" ref="V1399" ca="1" si="1464">SUM(V1397:V1398)</f>
        <v>99.739106134658087</v>
      </c>
    </row>
    <row r="1400" spans="2:22" s="35" customFormat="1" outlineLevel="1">
      <c r="B1400" s="38" t="s">
        <v>230</v>
      </c>
      <c r="C1400" s="38"/>
      <c r="D1400" s="38"/>
      <c r="E1400" s="38"/>
      <c r="F1400" s="324"/>
      <c r="G1400" s="324"/>
      <c r="H1400" s="324"/>
      <c r="I1400" s="324"/>
      <c r="J1400" s="324"/>
      <c r="K1400" s="324"/>
      <c r="L1400" s="38"/>
      <c r="M1400" s="57">
        <f t="shared" ref="M1400:V1400" ca="1" si="1465">M155</f>
        <v>12.182142857142857</v>
      </c>
      <c r="N1400" s="57">
        <f t="shared" ca="1" si="1465"/>
        <v>16.242857142857144</v>
      </c>
      <c r="O1400" s="57">
        <f t="shared" ca="1" si="1465"/>
        <v>16.24285714285714</v>
      </c>
      <c r="P1400" s="57">
        <f t="shared" ca="1" si="1465"/>
        <v>16.368723242750868</v>
      </c>
      <c r="Q1400" s="57">
        <f t="shared" ca="1" si="1465"/>
        <v>16.495712908254703</v>
      </c>
      <c r="R1400" s="57">
        <f t="shared" ca="1" si="1465"/>
        <v>16.623836169072277</v>
      </c>
      <c r="S1400" s="57">
        <f t="shared" ca="1" si="1465"/>
        <v>16.753103144439127</v>
      </c>
      <c r="T1400" s="57">
        <f t="shared" ca="1" si="1465"/>
        <v>15.276381186779041</v>
      </c>
      <c r="U1400" s="57">
        <f t="shared" ca="1" si="1465"/>
        <v>14.872252025367564</v>
      </c>
      <c r="V1400" s="57">
        <f t="shared" ca="1" si="1465"/>
        <v>15.00501176714555</v>
      </c>
    </row>
    <row r="1401" spans="2:22" s="35" customFormat="1" outlineLevel="1">
      <c r="B1401" s="38" t="s">
        <v>232</v>
      </c>
      <c r="C1401" s="38"/>
      <c r="D1401" s="38"/>
      <c r="E1401" s="38"/>
      <c r="F1401" s="324"/>
      <c r="G1401" s="324"/>
      <c r="H1401" s="324"/>
      <c r="I1401" s="324"/>
      <c r="J1401" s="324"/>
      <c r="K1401" s="324"/>
      <c r="L1401" s="38"/>
      <c r="M1401" s="57">
        <f t="shared" ref="M1401:V1401" ca="1" si="1466">M334</f>
        <v>-12.750000000000002</v>
      </c>
      <c r="N1401" s="57">
        <f t="shared" ca="1" si="1466"/>
        <v>-18</v>
      </c>
      <c r="O1401" s="57">
        <f t="shared" ca="1" si="1466"/>
        <v>-18.999999999999996</v>
      </c>
      <c r="P1401" s="57">
        <f t="shared" ca="1" si="1466"/>
        <v>-19.169606801275233</v>
      </c>
      <c r="Q1401" s="57">
        <f t="shared" ca="1" si="1466"/>
        <v>-19.340727627131464</v>
      </c>
      <c r="R1401" s="57">
        <f t="shared" ca="1" si="1466"/>
        <v>-19.513375992772165</v>
      </c>
      <c r="S1401" s="57">
        <f t="shared" ca="1" si="1466"/>
        <v>-19.687565534046644</v>
      </c>
      <c r="T1401" s="57">
        <f t="shared" ca="1" si="1466"/>
        <v>-19.863310008526977</v>
      </c>
      <c r="U1401" s="57">
        <f t="shared" ca="1" si="1466"/>
        <v>-20.040623296594589</v>
      </c>
      <c r="V1401" s="57">
        <f t="shared" ca="1" si="1466"/>
        <v>-20.219519402536559</v>
      </c>
    </row>
    <row r="1402" spans="2:22" s="35" customFormat="1" ht="13.5" customHeight="1" outlineLevel="1">
      <c r="B1402" s="38" t="s">
        <v>233</v>
      </c>
      <c r="C1402" s="38"/>
      <c r="D1402" s="38"/>
      <c r="E1402" s="38"/>
      <c r="F1402" s="324"/>
      <c r="G1402" s="324"/>
      <c r="H1402" s="324"/>
      <c r="I1402" s="324"/>
      <c r="J1402" s="324"/>
      <c r="K1402" s="324"/>
      <c r="L1402" s="38"/>
      <c r="M1402" s="57">
        <f t="shared" ref="M1402:V1402" ca="1" si="1467">M325</f>
        <v>1.9555124741068397</v>
      </c>
      <c r="N1402" s="57">
        <f t="shared" ca="1" si="1467"/>
        <v>-3.7902037907200992</v>
      </c>
      <c r="O1402" s="57">
        <f t="shared" ca="1" si="1467"/>
        <v>-1.293487816307362</v>
      </c>
      <c r="P1402" s="57">
        <f t="shared" ca="1" si="1467"/>
        <v>-0.41035585590583423</v>
      </c>
      <c r="Q1402" s="57">
        <f t="shared" ca="1" si="1467"/>
        <v>-0.4140189687534388</v>
      </c>
      <c r="R1402" s="57">
        <f t="shared" ca="1" si="1467"/>
        <v>-0.41771478101429693</v>
      </c>
      <c r="S1402" s="57">
        <f t="shared" ca="1" si="1467"/>
        <v>-0.42144358458560305</v>
      </c>
      <c r="T1402" s="57">
        <f t="shared" ca="1" si="1467"/>
        <v>-0.4252056739697565</v>
      </c>
      <c r="U1402" s="57">
        <f t="shared" ca="1" si="1467"/>
        <v>-0.42900134629849163</v>
      </c>
      <c r="V1402" s="57">
        <f t="shared" ca="1" si="1467"/>
        <v>-0.43283090135578561</v>
      </c>
    </row>
    <row r="1403" spans="2:22" s="35" customFormat="1" ht="13.5" customHeight="1" outlineLevel="1">
      <c r="B1403" s="38" t="s">
        <v>234</v>
      </c>
      <c r="C1403" s="38"/>
      <c r="D1403" s="38"/>
      <c r="E1403" s="38"/>
      <c r="F1403" s="324"/>
      <c r="G1403" s="324"/>
      <c r="H1403" s="324"/>
      <c r="I1403" s="324"/>
      <c r="J1403" s="324"/>
      <c r="K1403" s="324"/>
      <c r="L1403" s="38"/>
      <c r="M1403" s="57">
        <f t="shared" ref="M1403:V1403" ca="1" si="1468">M326</f>
        <v>-0.2850024428571416</v>
      </c>
      <c r="N1403" s="57">
        <f t="shared" ca="1" si="1468"/>
        <v>-0.380003257142846</v>
      </c>
      <c r="O1403" s="57">
        <f t="shared" ca="1" si="1468"/>
        <v>-0.3800032571428531</v>
      </c>
      <c r="P1403" s="57">
        <f t="shared" ca="1" si="1468"/>
        <v>-0.380003257142846</v>
      </c>
      <c r="Q1403" s="57">
        <f t="shared" ca="1" si="1468"/>
        <v>-0.38000325714286021</v>
      </c>
      <c r="R1403" s="57">
        <f t="shared" ca="1" si="1468"/>
        <v>-0.23562701964285537</v>
      </c>
      <c r="S1403" s="57">
        <f t="shared" ca="1" si="1468"/>
        <v>-0.18750160714284902</v>
      </c>
      <c r="T1403" s="57">
        <f t="shared" ca="1" si="1468"/>
        <v>-4.6875401785712256E-2</v>
      </c>
      <c r="U1403" s="57">
        <f t="shared" ca="1" si="1468"/>
        <v>0</v>
      </c>
      <c r="V1403" s="57">
        <f t="shared" ca="1" si="1468"/>
        <v>0</v>
      </c>
    </row>
    <row r="1404" spans="2:22" s="35" customFormat="1" ht="13.5" customHeight="1" outlineLevel="1">
      <c r="B1404" s="104" t="s">
        <v>235</v>
      </c>
      <c r="C1404" s="118"/>
      <c r="D1404" s="118"/>
      <c r="E1404" s="118"/>
      <c r="F1404" s="403"/>
      <c r="G1404" s="403"/>
      <c r="H1404" s="403"/>
      <c r="I1404" s="404"/>
      <c r="J1404" s="404"/>
      <c r="K1404" s="404"/>
      <c r="L1404" s="543">
        <v>0</v>
      </c>
      <c r="M1404" s="405">
        <f ca="1">SUM(M1399:M1403)</f>
        <v>54.852761952678257</v>
      </c>
      <c r="N1404" s="405">
        <f t="shared" ref="N1404:V1404" ca="1" si="1469">SUM(N1399:N1403)</f>
        <v>84.849373980708506</v>
      </c>
      <c r="O1404" s="405">
        <f t="shared" ca="1" si="1469"/>
        <v>89.076077355121157</v>
      </c>
      <c r="P1404" s="405">
        <f t="shared" ca="1" si="1469"/>
        <v>90.588536708508897</v>
      </c>
      <c r="Q1404" s="405">
        <f t="shared" ca="1" si="1469"/>
        <v>91.219818788967444</v>
      </c>
      <c r="R1404" s="405">
        <f t="shared" ca="1" si="1469"/>
        <v>92.001112356103334</v>
      </c>
      <c r="S1404" s="405">
        <f t="shared" ca="1" si="1469"/>
        <v>92.691840651447336</v>
      </c>
      <c r="T1404" s="405">
        <f t="shared" ca="1" si="1469"/>
        <v>92.918301224506777</v>
      </c>
      <c r="U1404" s="405">
        <f t="shared" ca="1" si="1469"/>
        <v>93.431801720702069</v>
      </c>
      <c r="V1404" s="405">
        <f t="shared" ca="1" si="1469"/>
        <v>94.091767597911286</v>
      </c>
    </row>
    <row r="1405" spans="2:22" s="35" customFormat="1" ht="13.5" customHeight="1" outlineLevel="1"/>
    <row r="1406" spans="2:22" s="35" customFormat="1" ht="13.5" customHeight="1" outlineLevel="1">
      <c r="B1406" s="46" t="s">
        <v>261</v>
      </c>
      <c r="C1406" s="47"/>
      <c r="D1406" s="47"/>
      <c r="E1406" s="47"/>
      <c r="F1406" s="47"/>
      <c r="G1406" s="47"/>
      <c r="H1406" s="47"/>
      <c r="I1406" s="47"/>
      <c r="J1406" s="47"/>
      <c r="K1406" s="47"/>
      <c r="L1406" s="47"/>
      <c r="M1406" s="47"/>
      <c r="N1406" s="47"/>
      <c r="O1406" s="47"/>
      <c r="P1406" s="47"/>
      <c r="Q1406" s="47"/>
      <c r="R1406" s="47"/>
      <c r="S1406" s="47"/>
      <c r="T1406" s="47"/>
      <c r="U1406" s="47"/>
      <c r="V1406" s="48"/>
    </row>
    <row r="1407" spans="2:22" ht="5.0999999999999996" customHeight="1" outlineLevel="1">
      <c r="B1407" s="143"/>
      <c r="F1407" s="398"/>
      <c r="G1407" s="398"/>
      <c r="H1407" s="398"/>
    </row>
    <row r="1408" spans="2:22" ht="13.5" customHeight="1" outlineLevel="1">
      <c r="B1408" s="38" t="str">
        <f>"( + ) Terminal cash flow ("&amp;TEXT(E1426,"0.0x")&amp;" terminal multiple)"</f>
        <v>( + ) Terminal cash flow (5.0x terminal multiple)</v>
      </c>
      <c r="Q1408" s="54">
        <f ca="1">Q1395*E1426</f>
        <v>812.16543797100087</v>
      </c>
    </row>
    <row r="1409" spans="2:22" ht="13.5" customHeight="1" outlineLevel="1">
      <c r="B1409" s="52" t="s">
        <v>258</v>
      </c>
      <c r="C1409" s="52"/>
      <c r="D1409" s="52"/>
      <c r="E1409" s="52"/>
      <c r="F1409" s="52"/>
      <c r="G1409" s="52"/>
      <c r="H1409" s="52"/>
      <c r="I1409" s="52"/>
      <c r="J1409" s="52"/>
      <c r="K1409" s="52"/>
      <c r="L1409" s="67">
        <f>L$1404+L1408</f>
        <v>0</v>
      </c>
      <c r="M1409" s="67">
        <f t="shared" ref="M1409" ca="1" si="1470">M$1404+M1408</f>
        <v>54.852761952678257</v>
      </c>
      <c r="N1409" s="67">
        <f t="shared" ref="N1409" ca="1" si="1471">N$1404+N1408</f>
        <v>84.849373980708506</v>
      </c>
      <c r="O1409" s="67">
        <f t="shared" ref="O1409" ca="1" si="1472">O$1404+O1408</f>
        <v>89.076077355121157</v>
      </c>
      <c r="P1409" s="67">
        <f t="shared" ref="P1409" ca="1" si="1473">P$1404+P1408</f>
        <v>90.588536708508897</v>
      </c>
      <c r="Q1409" s="67">
        <f t="shared" ref="Q1409" ca="1" si="1474">Q$1404+Q1408</f>
        <v>903.38525675996834</v>
      </c>
      <c r="R1409" s="54"/>
      <c r="S1409" s="54"/>
      <c r="T1409" s="54"/>
      <c r="U1409" s="54"/>
      <c r="V1409" s="54"/>
    </row>
    <row r="1410" spans="2:22" ht="13.5" customHeight="1" outlineLevel="1"/>
    <row r="1411" spans="2:22" s="80" customFormat="1" ht="13.5" customHeight="1" outlineLevel="1">
      <c r="B1411" s="186" t="s">
        <v>256</v>
      </c>
      <c r="C1411" s="186"/>
      <c r="D1411" s="186"/>
      <c r="E1411" s="186"/>
      <c r="F1411" s="186"/>
      <c r="G1411" s="186"/>
      <c r="H1411" s="186"/>
      <c r="I1411" s="186"/>
      <c r="J1411" s="186"/>
      <c r="K1411" s="186"/>
      <c r="L1411" s="406">
        <f ca="1">XNPV($C$1428,L1409:Q1409,L$1389:Q$1389)-L1409</f>
        <v>771.53040877629587</v>
      </c>
      <c r="M1411" s="407"/>
    </row>
    <row r="1412" spans="2:22" s="371" customFormat="1" ht="13.5" customHeight="1" outlineLevel="1">
      <c r="B1412" s="371" t="s">
        <v>249</v>
      </c>
      <c r="L1412" s="408">
        <f ca="1">ROUND(L1411-E1428,1)</f>
        <v>0</v>
      </c>
      <c r="M1412" s="409"/>
    </row>
    <row r="1413" spans="2:22" s="35" customFormat="1" ht="13.5" customHeight="1" outlineLevel="1"/>
    <row r="1414" spans="2:22" ht="13.5" customHeight="1" outlineLevel="1">
      <c r="B1414" s="38" t="str">
        <f>"( + ) Terminal cash flow ("&amp;TEXT(E1444,"0.0%")&amp;" terminal growth)"</f>
        <v>( + ) Terminal cash flow (0.5% terminal growth)</v>
      </c>
      <c r="Q1414" s="54">
        <f ca="1">Q1404*(1+E1444)/(C1446-E1444)</f>
        <v>797.18189463401984</v>
      </c>
    </row>
    <row r="1415" spans="2:22" ht="13.5" customHeight="1" outlineLevel="1">
      <c r="B1415" s="52" t="s">
        <v>259</v>
      </c>
      <c r="C1415" s="52"/>
      <c r="D1415" s="52"/>
      <c r="E1415" s="52"/>
      <c r="F1415" s="52"/>
      <c r="G1415" s="52"/>
      <c r="H1415" s="52"/>
      <c r="I1415" s="52"/>
      <c r="J1415" s="52"/>
      <c r="K1415" s="52"/>
      <c r="L1415" s="67">
        <f>L$1404+L1414</f>
        <v>0</v>
      </c>
      <c r="M1415" s="67">
        <f t="shared" ref="M1415:Q1415" ca="1" si="1475">M$1404+M1414</f>
        <v>54.852761952678257</v>
      </c>
      <c r="N1415" s="67">
        <f t="shared" ca="1" si="1475"/>
        <v>84.849373980708506</v>
      </c>
      <c r="O1415" s="67">
        <f t="shared" ca="1" si="1475"/>
        <v>89.076077355121157</v>
      </c>
      <c r="P1415" s="67">
        <f t="shared" ca="1" si="1475"/>
        <v>90.588536708508897</v>
      </c>
      <c r="Q1415" s="67">
        <f t="shared" ca="1" si="1475"/>
        <v>888.40171342298731</v>
      </c>
      <c r="R1415" s="54"/>
      <c r="S1415" s="54"/>
      <c r="T1415" s="54"/>
      <c r="U1415" s="54"/>
      <c r="V1415" s="54"/>
    </row>
    <row r="1416" spans="2:22" s="35" customFormat="1" ht="13.5" customHeight="1" outlineLevel="1"/>
    <row r="1417" spans="2:22" s="80" customFormat="1" ht="13.5" customHeight="1" outlineLevel="1">
      <c r="B1417" s="186" t="s">
        <v>257</v>
      </c>
      <c r="C1417" s="186"/>
      <c r="D1417" s="186"/>
      <c r="E1417" s="186"/>
      <c r="F1417" s="186"/>
      <c r="G1417" s="186"/>
      <c r="H1417" s="186"/>
      <c r="I1417" s="186"/>
      <c r="J1417" s="186"/>
      <c r="K1417" s="186"/>
      <c r="L1417" s="406">
        <f ca="1">XNPV($C$1428,L1415:Q1415,L$1389:Q$1389)-L1415</f>
        <v>762.78741104401456</v>
      </c>
      <c r="M1417" s="407"/>
    </row>
    <row r="1418" spans="2:22" s="371" customFormat="1" ht="13.5" customHeight="1" outlineLevel="1">
      <c r="B1418" s="371" t="s">
        <v>249</v>
      </c>
      <c r="L1418" s="408">
        <f ca="1">ROUND(L1417-E1446,1)</f>
        <v>0</v>
      </c>
      <c r="M1418" s="409"/>
    </row>
    <row r="1419" spans="2:22" s="35" customFormat="1" ht="13.5" customHeight="1" outlineLevel="1"/>
    <row r="1420" spans="2:22" s="35" customFormat="1" ht="13.5" customHeight="1" outlineLevel="1">
      <c r="B1420" s="46" t="s">
        <v>250</v>
      </c>
      <c r="C1420" s="47"/>
      <c r="D1420" s="47"/>
      <c r="E1420" s="47"/>
      <c r="F1420" s="47"/>
      <c r="G1420" s="47"/>
      <c r="H1420" s="47"/>
      <c r="I1420" s="47"/>
      <c r="J1420" s="47"/>
      <c r="K1420" s="47"/>
      <c r="L1420" s="47"/>
      <c r="M1420" s="47"/>
      <c r="N1420" s="47"/>
      <c r="O1420" s="47"/>
      <c r="P1420" s="47"/>
      <c r="Q1420" s="47"/>
      <c r="R1420" s="47"/>
      <c r="S1420" s="47"/>
      <c r="T1420" s="47"/>
      <c r="U1420" s="47"/>
      <c r="V1420" s="48"/>
    </row>
    <row r="1421" spans="2:22" ht="5.0999999999999996" customHeight="1" outlineLevel="1">
      <c r="B1421" s="143"/>
      <c r="F1421" s="398"/>
      <c r="G1421" s="398"/>
      <c r="H1421" s="398"/>
    </row>
    <row r="1422" spans="2:22" s="410" customFormat="1" ht="13.5" customHeight="1" outlineLevel="1">
      <c r="B1422" s="410" t="s">
        <v>254</v>
      </c>
      <c r="L1422" s="411"/>
      <c r="M1422" s="412"/>
    </row>
    <row r="1423" spans="2:22" ht="13.5" customHeight="1" outlineLevel="1">
      <c r="B1423" s="143"/>
      <c r="F1423" s="398"/>
      <c r="G1423" s="398"/>
      <c r="H1423" s="398"/>
    </row>
    <row r="1424" spans="2:22" ht="13.5" customHeight="1" outlineLevel="1">
      <c r="D1424" s="80" t="s">
        <v>252</v>
      </c>
      <c r="H1424" s="80" t="s">
        <v>253</v>
      </c>
    </row>
    <row r="1425" spans="2:22" s="35" customFormat="1" ht="13.5" customHeight="1" outlineLevel="1">
      <c r="D1425" s="413" t="s">
        <v>35</v>
      </c>
      <c r="E1425" s="413"/>
      <c r="F1425" s="413"/>
      <c r="H1425" s="413" t="str">
        <f>D1425</f>
        <v>Terminal EBITDA Multiple</v>
      </c>
      <c r="I1425" s="413"/>
      <c r="J1425" s="413"/>
    </row>
    <row r="1426" spans="2:22" s="35" customFormat="1" ht="13.5" customHeight="1" outlineLevel="1">
      <c r="D1426" s="544">
        <v>4.5</v>
      </c>
      <c r="E1426" s="544">
        <v>5</v>
      </c>
      <c r="F1426" s="544">
        <v>5.5</v>
      </c>
      <c r="H1426" s="414">
        <f>$D$1426</f>
        <v>4.5</v>
      </c>
      <c r="I1426" s="414">
        <f>$E$1426</f>
        <v>5</v>
      </c>
      <c r="J1426" s="414">
        <f>$F$1426</f>
        <v>5.5</v>
      </c>
    </row>
    <row r="1427" spans="2:22" s="35" customFormat="1" ht="13.5" customHeight="1" outlineLevel="1">
      <c r="B1427" s="38" t="s">
        <v>36</v>
      </c>
      <c r="C1427" s="506">
        <f>C1428-0.01</f>
        <v>0.11</v>
      </c>
      <c r="D1427" s="415">
        <f t="shared" ref="D1427:F1429" ca="1" si="1476">$M$1404/(1+$C1427)^($M$1391)+$N$1404/(1+$C1427)^($N$1391)+$O$1404/(1+$C1427)^($O$1391)+$P$1404/(1+$C1427)^($P$1391)+$Q$1404/(1+$C1427)^($Q$1391)+D$1426*$Q$1395/(1+$C1427)^($Q$1391)</f>
        <v>750.13090482713255</v>
      </c>
      <c r="E1427" s="416">
        <f t="shared" ca="1" si="1476"/>
        <v>799.58532781250926</v>
      </c>
      <c r="F1427" s="417">
        <f t="shared" ca="1" si="1476"/>
        <v>849.03975079788597</v>
      </c>
      <c r="H1427" s="415">
        <f t="shared" ref="H1427:J1429" ca="1" si="1477">D1427-$P$27</f>
        <v>702.31924829877948</v>
      </c>
      <c r="I1427" s="416">
        <f t="shared" ca="1" si="1477"/>
        <v>751.77367128415631</v>
      </c>
      <c r="J1427" s="417">
        <f t="shared" ca="1" si="1477"/>
        <v>801.2280942695329</v>
      </c>
    </row>
    <row r="1428" spans="2:22" s="35" customFormat="1" ht="13.5" customHeight="1" outlineLevel="1">
      <c r="B1428" s="38" t="s">
        <v>37</v>
      </c>
      <c r="C1428" s="199">
        <f>CHOOSE(P50,P49,K1489)</f>
        <v>0.12</v>
      </c>
      <c r="D1428" s="418">
        <f t="shared" ca="1" si="1476"/>
        <v>724.14001237458365</v>
      </c>
      <c r="E1428" s="419">
        <f t="shared" ca="1" si="1476"/>
        <v>771.53040877629587</v>
      </c>
      <c r="F1428" s="420">
        <f t="shared" ca="1" si="1476"/>
        <v>818.9208051780081</v>
      </c>
      <c r="H1428" s="418">
        <f t="shared" ca="1" si="1477"/>
        <v>676.32835584623058</v>
      </c>
      <c r="I1428" s="419">
        <f t="shared" ca="1" si="1477"/>
        <v>723.7187522479428</v>
      </c>
      <c r="J1428" s="420">
        <f t="shared" ca="1" si="1477"/>
        <v>771.10914864965503</v>
      </c>
      <c r="L1428" s="106"/>
    </row>
    <row r="1429" spans="2:22" s="35" customFormat="1" ht="13.5" customHeight="1" outlineLevel="1">
      <c r="B1429" s="38" t="s">
        <v>38</v>
      </c>
      <c r="C1429" s="506">
        <f>C1428+0.01</f>
        <v>0.13</v>
      </c>
      <c r="D1429" s="421">
        <f t="shared" ca="1" si="1476"/>
        <v>699.36520232704856</v>
      </c>
      <c r="E1429" s="422">
        <f t="shared" ca="1" si="1476"/>
        <v>744.79492879432178</v>
      </c>
      <c r="F1429" s="423">
        <f t="shared" ca="1" si="1476"/>
        <v>790.22465526159499</v>
      </c>
      <c r="H1429" s="421">
        <f t="shared" ca="1" si="1477"/>
        <v>651.5535457986955</v>
      </c>
      <c r="I1429" s="422">
        <f t="shared" ca="1" si="1477"/>
        <v>696.98327226596871</v>
      </c>
      <c r="J1429" s="423">
        <f t="shared" ca="1" si="1477"/>
        <v>742.41299873324192</v>
      </c>
    </row>
    <row r="1430" spans="2:22" ht="13.5" customHeight="1" outlineLevel="1"/>
    <row r="1431" spans="2:22" outlineLevel="1">
      <c r="D1431" s="80" t="s">
        <v>39</v>
      </c>
      <c r="H1431" s="80" t="s">
        <v>266</v>
      </c>
    </row>
    <row r="1432" spans="2:22" s="35" customFormat="1" ht="13.5" customHeight="1" outlineLevel="1">
      <c r="D1432" s="424" t="str">
        <f>D1425</f>
        <v>Terminal EBITDA Multiple</v>
      </c>
      <c r="E1432" s="424"/>
      <c r="F1432" s="424"/>
      <c r="H1432" s="424" t="str">
        <f>D1432</f>
        <v>Terminal EBITDA Multiple</v>
      </c>
      <c r="I1432" s="424"/>
      <c r="J1432" s="424"/>
    </row>
    <row r="1433" spans="2:22" s="35" customFormat="1" ht="13.5" customHeight="1" outlineLevel="1">
      <c r="D1433" s="425">
        <f>$D$1426</f>
        <v>4.5</v>
      </c>
      <c r="E1433" s="425">
        <f>$E$1426</f>
        <v>5</v>
      </c>
      <c r="F1433" s="425">
        <f>$F$1426</f>
        <v>5.5</v>
      </c>
      <c r="H1433" s="425">
        <f>$D$1426</f>
        <v>4.5</v>
      </c>
      <c r="I1433" s="425">
        <f>$E$1426</f>
        <v>5</v>
      </c>
      <c r="J1433" s="425">
        <f>$F$1426</f>
        <v>5.5</v>
      </c>
    </row>
    <row r="1434" spans="2:22" s="35" customFormat="1" ht="13.5" customHeight="1" outlineLevel="1">
      <c r="B1434" s="38" t="s">
        <v>36</v>
      </c>
      <c r="C1434" s="197">
        <f>$C$1427</f>
        <v>0.11</v>
      </c>
      <c r="D1434" s="426">
        <f t="shared" ref="D1434:F1436" ca="1" si="1478">(D$1433*$Q$1395*$C1434-$Q$1404)/(D$1433*$Q$1395+$Q$1404)</f>
        <v>-1.3154770133325205E-2</v>
      </c>
      <c r="E1434" s="427">
        <f t="shared" ca="1" si="1478"/>
        <v>-2.0828551252937925E-3</v>
      </c>
      <c r="F1434" s="428">
        <f t="shared" ca="1" si="1478"/>
        <v>7.1624886340180029E-3</v>
      </c>
      <c r="H1434" s="429">
        <f t="shared" ref="H1434:J1436" ca="1" si="1479">H1427/$P$17</f>
        <v>19.395726271714434</v>
      </c>
      <c r="I1434" s="430">
        <f t="shared" ca="1" si="1479"/>
        <v>20.761493269377421</v>
      </c>
      <c r="J1434" s="431">
        <f t="shared" ca="1" si="1479"/>
        <v>22.127260267040405</v>
      </c>
    </row>
    <row r="1435" spans="2:22" s="35" customFormat="1" ht="13.5" customHeight="1" outlineLevel="1">
      <c r="B1435" s="38" t="s">
        <v>37</v>
      </c>
      <c r="C1435" s="197">
        <f>$C$1428</f>
        <v>0.12</v>
      </c>
      <c r="D1435" s="432">
        <f t="shared" ca="1" si="1478"/>
        <v>-4.2642725669587676E-3</v>
      </c>
      <c r="E1435" s="257">
        <f t="shared" ca="1" si="1478"/>
        <v>6.9073894231269839E-3</v>
      </c>
      <c r="F1435" s="433">
        <f t="shared" ca="1" si="1478"/>
        <v>1.6236024567657808E-2</v>
      </c>
      <c r="H1435" s="434">
        <f t="shared" ca="1" si="1479"/>
        <v>18.677944099592121</v>
      </c>
      <c r="I1435" s="435">
        <f t="shared" ca="1" si="1479"/>
        <v>19.986709534602124</v>
      </c>
      <c r="J1435" s="436">
        <f t="shared" ca="1" si="1479"/>
        <v>21.29547496961213</v>
      </c>
    </row>
    <row r="1436" spans="2:22" s="35" customFormat="1" ht="13.5" customHeight="1" outlineLevel="1">
      <c r="B1436" s="38" t="s">
        <v>38</v>
      </c>
      <c r="C1436" s="197">
        <f>$C$1429</f>
        <v>0.13</v>
      </c>
      <c r="D1436" s="437">
        <f t="shared" ca="1" si="1478"/>
        <v>4.6262249994076686E-3</v>
      </c>
      <c r="E1436" s="438">
        <f t="shared" ca="1" si="1478"/>
        <v>1.589763397154776E-2</v>
      </c>
      <c r="F1436" s="439">
        <f t="shared" ca="1" si="1478"/>
        <v>2.5309560501297609E-2</v>
      </c>
      <c r="H1436" s="440">
        <f t="shared" ca="1" si="1479"/>
        <v>17.993746086680353</v>
      </c>
      <c r="I1436" s="441">
        <f t="shared" ca="1" si="1479"/>
        <v>19.248364326594004</v>
      </c>
      <c r="J1436" s="442">
        <f t="shared" ca="1" si="1479"/>
        <v>20.502982566507651</v>
      </c>
    </row>
    <row r="1437" spans="2:22" s="35" customFormat="1" ht="13.5" customHeight="1" outlineLevel="1"/>
    <row r="1438" spans="2:22" s="35" customFormat="1" ht="13.5" customHeight="1" outlineLevel="1">
      <c r="B1438" s="46" t="s">
        <v>251</v>
      </c>
      <c r="C1438" s="47"/>
      <c r="D1438" s="47"/>
      <c r="E1438" s="47"/>
      <c r="F1438" s="47"/>
      <c r="G1438" s="47"/>
      <c r="H1438" s="47"/>
      <c r="I1438" s="47"/>
      <c r="J1438" s="47"/>
      <c r="K1438" s="47"/>
      <c r="L1438" s="47"/>
      <c r="M1438" s="47"/>
      <c r="N1438" s="47"/>
      <c r="O1438" s="47"/>
      <c r="P1438" s="47"/>
      <c r="Q1438" s="47"/>
      <c r="R1438" s="47"/>
      <c r="S1438" s="47"/>
      <c r="T1438" s="47"/>
      <c r="U1438" s="47"/>
      <c r="V1438" s="48"/>
    </row>
    <row r="1439" spans="2:22" ht="5.0999999999999996" customHeight="1" outlineLevel="1">
      <c r="B1439" s="143"/>
      <c r="F1439" s="398"/>
      <c r="G1439" s="398"/>
      <c r="H1439" s="398"/>
    </row>
    <row r="1440" spans="2:22" s="410" customFormat="1" ht="13.5" customHeight="1" outlineLevel="1">
      <c r="B1440" s="410" t="s">
        <v>255</v>
      </c>
      <c r="M1440" s="412"/>
    </row>
    <row r="1441" spans="2:22" ht="13.5" customHeight="1" outlineLevel="1">
      <c r="D1441" s="398"/>
    </row>
    <row r="1442" spans="2:22" outlineLevel="1">
      <c r="D1442" s="80" t="s">
        <v>252</v>
      </c>
      <c r="H1442" s="80" t="s">
        <v>253</v>
      </c>
    </row>
    <row r="1443" spans="2:22" s="35" customFormat="1" outlineLevel="1">
      <c r="D1443" s="424" t="s">
        <v>40</v>
      </c>
      <c r="E1443" s="424"/>
      <c r="F1443" s="424"/>
      <c r="H1443" s="424" t="str">
        <f>D1443</f>
        <v>Terminal Perpetuity Growth Rate</v>
      </c>
      <c r="I1443" s="424"/>
      <c r="J1443" s="424"/>
    </row>
    <row r="1444" spans="2:22" s="35" customFormat="1" ht="13.5" customHeight="1" outlineLevel="1">
      <c r="D1444" s="523">
        <v>0</v>
      </c>
      <c r="E1444" s="523">
        <v>5.0000000000000001E-3</v>
      </c>
      <c r="F1444" s="523">
        <v>0.01</v>
      </c>
      <c r="G1444" s="38"/>
      <c r="H1444" s="75">
        <f>$D$1444</f>
        <v>0</v>
      </c>
      <c r="I1444" s="75">
        <f>$E$1444</f>
        <v>5.0000000000000001E-3</v>
      </c>
      <c r="J1444" s="75">
        <f>$F$1444</f>
        <v>0.01</v>
      </c>
    </row>
    <row r="1445" spans="2:22" s="35" customFormat="1" ht="13.5" customHeight="1" outlineLevel="1">
      <c r="B1445" s="38" t="s">
        <v>36</v>
      </c>
      <c r="C1445" s="197">
        <f>$C$1427</f>
        <v>0.11</v>
      </c>
      <c r="D1445" s="415">
        <f t="shared" ref="D1445:F1447" ca="1" si="1480">$M$1404/(1+$C1445)^($M$1391)+$N$1404/(1+$C1445)^($N$1391)+$O$1404/(1+$C1445)^($O$1391)+$P$1404/(1+$C1445)^($P$1391)+$Q$1404/(1+$C1445)^($Q$1391)+($Q$1404*(1+D$1444)/($C1445-D$1444))/(1+$C1445)^($Q$1391)</f>
        <v>810.00130480226994</v>
      </c>
      <c r="E1445" s="416">
        <f t="shared" ca="1" si="1480"/>
        <v>836.69205859257067</v>
      </c>
      <c r="F1445" s="417">
        <f t="shared" ca="1" si="1480"/>
        <v>866.0518877619013</v>
      </c>
      <c r="H1445" s="415">
        <f t="shared" ref="H1445:J1447" ca="1" si="1481">D1445-$P$27</f>
        <v>762.18964827391687</v>
      </c>
      <c r="I1445" s="416">
        <f t="shared" ca="1" si="1481"/>
        <v>788.88040206421761</v>
      </c>
      <c r="J1445" s="417">
        <f t="shared" ca="1" si="1481"/>
        <v>818.24023123354823</v>
      </c>
    </row>
    <row r="1446" spans="2:22" s="35" customFormat="1" outlineLevel="1">
      <c r="B1446" s="38" t="s">
        <v>37</v>
      </c>
      <c r="C1446" s="197">
        <f>$C$1428</f>
        <v>0.12</v>
      </c>
      <c r="D1446" s="418">
        <f t="shared" ca="1" si="1480"/>
        <v>741.18789685500042</v>
      </c>
      <c r="E1446" s="419">
        <f t="shared" ca="1" si="1480"/>
        <v>762.78741104401456</v>
      </c>
      <c r="F1446" s="420">
        <f t="shared" ca="1" si="1480"/>
        <v>786.35051743203007</v>
      </c>
      <c r="H1446" s="418">
        <f t="shared" ca="1" si="1481"/>
        <v>693.37624032664735</v>
      </c>
      <c r="I1446" s="419">
        <f t="shared" ca="1" si="1481"/>
        <v>714.97575451566149</v>
      </c>
      <c r="J1446" s="420">
        <f t="shared" ca="1" si="1481"/>
        <v>738.538860903677</v>
      </c>
      <c r="L1446" s="106"/>
    </row>
    <row r="1447" spans="2:22" s="35" customFormat="1" outlineLevel="1">
      <c r="B1447" s="38" t="s">
        <v>38</v>
      </c>
      <c r="C1447" s="197">
        <f>$C$1429</f>
        <v>0.13</v>
      </c>
      <c r="D1447" s="421">
        <f t="shared" ca="1" si="1480"/>
        <v>682.99929970441951</v>
      </c>
      <c r="E1447" s="422">
        <f t="shared" ca="1" si="1480"/>
        <v>700.74037363276341</v>
      </c>
      <c r="F1447" s="423">
        <f t="shared" ca="1" si="1480"/>
        <v>719.9598703884692</v>
      </c>
      <c r="H1447" s="421">
        <f t="shared" ca="1" si="1481"/>
        <v>635.18764317606656</v>
      </c>
      <c r="I1447" s="422">
        <f t="shared" ca="1" si="1481"/>
        <v>652.92871710441045</v>
      </c>
      <c r="J1447" s="423">
        <f t="shared" ca="1" si="1481"/>
        <v>672.14821386011613</v>
      </c>
    </row>
    <row r="1448" spans="2:22" s="35" customFormat="1" outlineLevel="1"/>
    <row r="1449" spans="2:22" outlineLevel="1">
      <c r="D1449" s="80" t="s">
        <v>41</v>
      </c>
      <c r="H1449" s="80" t="s">
        <v>266</v>
      </c>
    </row>
    <row r="1450" spans="2:22" s="35" customFormat="1" outlineLevel="1">
      <c r="D1450" s="424" t="str">
        <f>D1443</f>
        <v>Terminal Perpetuity Growth Rate</v>
      </c>
      <c r="E1450" s="424"/>
      <c r="F1450" s="424"/>
      <c r="H1450" s="424" t="str">
        <f>D1450</f>
        <v>Terminal Perpetuity Growth Rate</v>
      </c>
      <c r="I1450" s="424"/>
      <c r="J1450" s="424"/>
    </row>
    <row r="1451" spans="2:22" s="35" customFormat="1" ht="13.5" customHeight="1" outlineLevel="1">
      <c r="D1451" s="75">
        <f>$D$1444</f>
        <v>0</v>
      </c>
      <c r="E1451" s="75">
        <f>$E$1444</f>
        <v>5.0000000000000001E-3</v>
      </c>
      <c r="F1451" s="75">
        <f>$F$1444</f>
        <v>0.01</v>
      </c>
      <c r="G1451" s="345"/>
      <c r="H1451" s="75">
        <f>$D$1444</f>
        <v>0</v>
      </c>
      <c r="I1451" s="75">
        <f>$E$1444</f>
        <v>5.0000000000000001E-3</v>
      </c>
      <c r="J1451" s="75">
        <f>$F$1444</f>
        <v>0.01</v>
      </c>
    </row>
    <row r="1452" spans="2:22" s="35" customFormat="1" ht="13.5" customHeight="1" outlineLevel="1">
      <c r="B1452" s="38" t="s">
        <v>36</v>
      </c>
      <c r="C1452" s="197">
        <f>$C$1427</f>
        <v>0.11</v>
      </c>
      <c r="D1452" s="443">
        <f t="shared" ref="D1452:F1454" ca="1" si="1482">$Q$1404*(1+D$1451)/($C1452-D$1451)/$Q$1395</f>
        <v>5.1053088516758205</v>
      </c>
      <c r="E1452" s="444">
        <f t="shared" ca="1" si="1482"/>
        <v>5.3751608909786848</v>
      </c>
      <c r="F1452" s="445">
        <f t="shared" ca="1" si="1482"/>
        <v>5.6719981342118357</v>
      </c>
      <c r="H1452" s="429">
        <f t="shared" ref="H1452:J1454" ca="1" si="1483">H1445/$P$17</f>
        <v>21.049147977738663</v>
      </c>
      <c r="I1452" s="430">
        <f t="shared" ca="1" si="1483"/>
        <v>21.78625799680248</v>
      </c>
      <c r="J1452" s="431">
        <f t="shared" ca="1" si="1483"/>
        <v>22.597079017772671</v>
      </c>
    </row>
    <row r="1453" spans="2:22" s="35" customFormat="1" ht="13.5" customHeight="1" outlineLevel="1">
      <c r="B1453" s="38" t="s">
        <v>37</v>
      </c>
      <c r="C1453" s="197">
        <f>$C$1428</f>
        <v>0.12</v>
      </c>
      <c r="D1453" s="446">
        <f t="shared" ca="1" si="1482"/>
        <v>4.679866447369502</v>
      </c>
      <c r="E1453" s="447">
        <f t="shared" ca="1" si="1482"/>
        <v>4.9077555961109738</v>
      </c>
      <c r="F1453" s="448">
        <f t="shared" ca="1" si="1482"/>
        <v>5.1563619401925784</v>
      </c>
      <c r="H1453" s="434">
        <f t="shared" ca="1" si="1483"/>
        <v>19.148750078062619</v>
      </c>
      <c r="I1453" s="435">
        <f t="shared" ca="1" si="1483"/>
        <v>19.745256959836002</v>
      </c>
      <c r="J1453" s="436">
        <f t="shared" ca="1" si="1483"/>
        <v>20.395991739952422</v>
      </c>
    </row>
    <row r="1454" spans="2:22" s="35" customFormat="1" ht="13.5" customHeight="1" outlineLevel="1">
      <c r="B1454" s="38" t="s">
        <v>38</v>
      </c>
      <c r="C1454" s="197">
        <f>$C$1429</f>
        <v>0.13</v>
      </c>
      <c r="D1454" s="449">
        <f t="shared" ca="1" si="1482"/>
        <v>4.3198767206487707</v>
      </c>
      <c r="E1454" s="450">
        <f t="shared" ca="1" si="1482"/>
        <v>4.515135148422095</v>
      </c>
      <c r="F1454" s="451">
        <f t="shared" ca="1" si="1482"/>
        <v>4.7266651118431966</v>
      </c>
      <c r="H1454" s="440">
        <f t="shared" ca="1" si="1483"/>
        <v>17.541774183266131</v>
      </c>
      <c r="I1454" s="441">
        <f t="shared" ca="1" si="1483"/>
        <v>18.031723753228682</v>
      </c>
      <c r="J1454" s="442">
        <f t="shared" ca="1" si="1483"/>
        <v>18.562502454021438</v>
      </c>
    </row>
    <row r="1455" spans="2:22" s="35" customFormat="1" ht="5.0999999999999996" customHeight="1" outlineLevel="1" thickBot="1">
      <c r="B1455" s="121"/>
      <c r="C1455" s="121"/>
      <c r="D1455" s="121"/>
      <c r="E1455" s="121"/>
      <c r="F1455" s="121"/>
      <c r="G1455" s="121"/>
      <c r="H1455" s="121"/>
      <c r="I1455" s="121"/>
      <c r="J1455" s="121"/>
      <c r="K1455" s="121"/>
      <c r="L1455" s="121"/>
      <c r="M1455" s="121"/>
      <c r="N1455" s="121"/>
      <c r="O1455" s="121"/>
      <c r="P1455" s="121"/>
      <c r="Q1455" s="121"/>
      <c r="R1455" s="121"/>
      <c r="S1455" s="121"/>
      <c r="T1455" s="121"/>
      <c r="U1455" s="121"/>
      <c r="V1455" s="121"/>
    </row>
    <row r="1456" spans="2:22" s="35" customFormat="1" ht="13.5" customHeight="1" outlineLevel="1"/>
    <row r="1457" spans="1:22" s="35" customFormat="1" ht="13.5" customHeight="1" outlineLevel="1" thickBot="1"/>
    <row r="1458" spans="1:22" s="35" customFormat="1" ht="20.100000000000001" customHeight="1" thickTop="1">
      <c r="A1458" s="41" t="s">
        <v>426</v>
      </c>
      <c r="B1458" s="42" t="s">
        <v>574</v>
      </c>
      <c r="C1458" s="43"/>
      <c r="D1458" s="44"/>
      <c r="E1458" s="44"/>
      <c r="F1458" s="44"/>
      <c r="G1458" s="44"/>
      <c r="H1458" s="44"/>
      <c r="I1458" s="44"/>
      <c r="J1458" s="44"/>
      <c r="K1458" s="44"/>
      <c r="L1458" s="44"/>
      <c r="M1458" s="44"/>
      <c r="N1458" s="44"/>
      <c r="O1458" s="44"/>
      <c r="P1458" s="44"/>
      <c r="Q1458" s="44"/>
      <c r="R1458" s="44"/>
      <c r="S1458" s="44"/>
      <c r="T1458" s="44"/>
      <c r="U1458" s="44"/>
      <c r="V1458" s="44"/>
    </row>
    <row r="1459" spans="1:22" outlineLevel="1">
      <c r="B1459" s="45" t="str">
        <f>$B$7</f>
        <v>($ in millions, except per share data)</v>
      </c>
      <c r="V1459" s="122" t="str">
        <f ca="1">err_msg</f>
        <v/>
      </c>
    </row>
    <row r="1460" spans="1:22" ht="13.5" customHeight="1" outlineLevel="1"/>
    <row r="1461" spans="1:22" ht="13.5" customHeight="1" outlineLevel="1">
      <c r="B1461" s="38" t="s">
        <v>294</v>
      </c>
      <c r="C1461" s="336"/>
      <c r="D1461" s="336"/>
      <c r="E1461" s="183">
        <f>P10</f>
        <v>12.81</v>
      </c>
      <c r="G1461" s="46" t="s">
        <v>108</v>
      </c>
      <c r="H1461" s="47"/>
      <c r="I1461" s="47"/>
      <c r="J1461" s="47"/>
      <c r="K1461" s="48"/>
    </row>
    <row r="1462" spans="1:22" ht="13.5" customHeight="1" outlineLevel="1">
      <c r="G1462" s="38" t="s">
        <v>334</v>
      </c>
      <c r="K1462" s="270">
        <f>P47</f>
        <v>0.86</v>
      </c>
    </row>
    <row r="1463" spans="1:22" ht="13.5" customHeight="1" outlineLevel="1">
      <c r="B1463" s="46" t="s">
        <v>22</v>
      </c>
      <c r="C1463" s="47"/>
      <c r="D1463" s="47"/>
      <c r="E1463" s="48"/>
      <c r="G1463" s="38" t="s">
        <v>365</v>
      </c>
      <c r="K1463" s="54">
        <f ca="1">E1461*E1487</f>
        <v>448.62164999999993</v>
      </c>
    </row>
    <row r="1464" spans="1:22" ht="13.5" customHeight="1" outlineLevel="1">
      <c r="B1464" s="342"/>
      <c r="C1464" s="49" t="s">
        <v>3</v>
      </c>
      <c r="D1464" s="49" t="s">
        <v>4</v>
      </c>
      <c r="E1464" s="49" t="s">
        <v>5</v>
      </c>
      <c r="G1464" s="38" t="s">
        <v>363</v>
      </c>
      <c r="K1464" s="57">
        <f ca="1">J266+IF(E1480&gt;E1461,E1479,0)</f>
        <v>230</v>
      </c>
    </row>
    <row r="1465" spans="1:22" ht="13.5" customHeight="1" outlineLevel="1" thickBot="1">
      <c r="B1465" s="343"/>
      <c r="C1465" s="98" t="s">
        <v>6</v>
      </c>
      <c r="D1465" s="98" t="s">
        <v>7</v>
      </c>
      <c r="E1465" s="98" t="s">
        <v>8</v>
      </c>
      <c r="G1465" s="38" t="s">
        <v>364</v>
      </c>
      <c r="K1465" s="509">
        <v>0</v>
      </c>
    </row>
    <row r="1466" spans="1:22" ht="13.5" customHeight="1" outlineLevel="1">
      <c r="B1466" s="38" t="s">
        <v>9</v>
      </c>
      <c r="C1466" s="65">
        <f t="shared" ref="C1466:C1475" si="1484">I1088</f>
        <v>0.20899999999999999</v>
      </c>
      <c r="D1466" s="71">
        <f t="shared" ref="D1466:D1475" si="1485">J1088</f>
        <v>9.0399999999999991</v>
      </c>
      <c r="E1466" s="65">
        <f t="shared" ref="E1466:E1475" si="1486">IF(D1466&gt;$E$1461,0,C1466-C1466*D1466/$E$1461)</f>
        <v>6.1508977361436401E-2</v>
      </c>
      <c r="G1466" s="38" t="s">
        <v>366</v>
      </c>
      <c r="K1466" s="190">
        <f ca="1">K1462/(1+(K1464/K1463)*(1-tax)+(K1465/K1463))</f>
        <v>0.64504372814460065</v>
      </c>
    </row>
    <row r="1467" spans="1:22" ht="13.5" customHeight="1" outlineLevel="1">
      <c r="B1467" s="38" t="s">
        <v>10</v>
      </c>
      <c r="C1467" s="65">
        <f t="shared" si="1484"/>
        <v>5.8999999999999997E-2</v>
      </c>
      <c r="D1467" s="190">
        <f t="shared" si="1485"/>
        <v>10.029999999999999</v>
      </c>
      <c r="E1467" s="65">
        <f t="shared" si="1486"/>
        <v>1.2804059328649496E-2</v>
      </c>
      <c r="G1467" s="452"/>
      <c r="H1467" s="453"/>
      <c r="I1467" s="453"/>
      <c r="J1467" s="453"/>
      <c r="K1467" s="453"/>
    </row>
    <row r="1468" spans="1:22" ht="13.5" customHeight="1" outlineLevel="1">
      <c r="B1468" s="38" t="s">
        <v>11</v>
      </c>
      <c r="C1468" s="65">
        <f t="shared" si="1484"/>
        <v>0.221</v>
      </c>
      <c r="D1468" s="190">
        <f t="shared" si="1485"/>
        <v>11.53</v>
      </c>
      <c r="E1468" s="65">
        <f t="shared" si="1486"/>
        <v>2.2082747853239659E-2</v>
      </c>
      <c r="G1468" s="46" t="s">
        <v>109</v>
      </c>
      <c r="H1468" s="47"/>
      <c r="I1468" s="47"/>
      <c r="J1468" s="47"/>
      <c r="K1468" s="48"/>
    </row>
    <row r="1469" spans="1:22" ht="13.5" customHeight="1" outlineLevel="1">
      <c r="B1469" s="38" t="s">
        <v>12</v>
      </c>
      <c r="C1469" s="65">
        <f t="shared" si="1484"/>
        <v>0.3</v>
      </c>
      <c r="D1469" s="190">
        <f t="shared" si="1485"/>
        <v>12.69</v>
      </c>
      <c r="E1469" s="65">
        <f t="shared" si="1486"/>
        <v>2.8103044496487484E-3</v>
      </c>
      <c r="G1469" s="38" t="s">
        <v>368</v>
      </c>
      <c r="H1469" s="336"/>
      <c r="I1469" s="336"/>
      <c r="K1469" s="517">
        <v>4.4999999999999998E-2</v>
      </c>
    </row>
    <row r="1470" spans="1:22" ht="13.5" customHeight="1" outlineLevel="1">
      <c r="B1470" s="38" t="s">
        <v>13</v>
      </c>
      <c r="C1470" s="65">
        <f t="shared" si="1484"/>
        <v>0.26900000000000002</v>
      </c>
      <c r="D1470" s="190">
        <f t="shared" si="1485"/>
        <v>19.54</v>
      </c>
      <c r="E1470" s="65">
        <f t="shared" si="1486"/>
        <v>0</v>
      </c>
      <c r="G1470" s="38" t="s">
        <v>333</v>
      </c>
      <c r="K1470" s="63">
        <f>P48</f>
        <v>0.04</v>
      </c>
    </row>
    <row r="1471" spans="1:22" ht="13.5" customHeight="1" outlineLevel="1">
      <c r="B1471" s="38" t="s">
        <v>14</v>
      </c>
      <c r="C1471" s="65">
        <f t="shared" si="1484"/>
        <v>0.21099999999999999</v>
      </c>
      <c r="D1471" s="190">
        <f t="shared" si="1485"/>
        <v>27.06</v>
      </c>
      <c r="E1471" s="65">
        <f t="shared" si="1486"/>
        <v>0</v>
      </c>
      <c r="G1471" s="38" t="s">
        <v>332</v>
      </c>
      <c r="K1471" s="190">
        <f ca="1">K1466*(1+(SUM(I1476:I1485)/I1488)*(1-tax)+(SUM(I1486:I1487)/I1488))</f>
        <v>0.81340496420806441</v>
      </c>
    </row>
    <row r="1472" spans="1:22" ht="13.5" customHeight="1" outlineLevel="1">
      <c r="B1472" s="38" t="s">
        <v>15</v>
      </c>
      <c r="C1472" s="65">
        <f t="shared" si="1484"/>
        <v>0.187</v>
      </c>
      <c r="D1472" s="190">
        <f t="shared" si="1485"/>
        <v>45.75</v>
      </c>
      <c r="E1472" s="65">
        <f t="shared" si="1486"/>
        <v>0</v>
      </c>
      <c r="G1472" s="52" t="s">
        <v>331</v>
      </c>
      <c r="H1472" s="454"/>
      <c r="I1472" s="454"/>
      <c r="J1472" s="52"/>
      <c r="K1472" s="455">
        <f ca="1">K1469+(K1470*K1471)</f>
        <v>7.7536198568322584E-2</v>
      </c>
    </row>
    <row r="1473" spans="2:11" ht="13.5" customHeight="1" outlineLevel="1">
      <c r="B1473" s="38" t="s">
        <v>16</v>
      </c>
      <c r="C1473" s="65">
        <f t="shared" si="1484"/>
        <v>0</v>
      </c>
      <c r="D1473" s="190">
        <f t="shared" si="1485"/>
        <v>0</v>
      </c>
      <c r="E1473" s="65">
        <f t="shared" si="1486"/>
        <v>0</v>
      </c>
    </row>
    <row r="1474" spans="2:11" ht="13.5" customHeight="1" outlineLevel="1">
      <c r="B1474" s="38" t="s">
        <v>17</v>
      </c>
      <c r="C1474" s="65">
        <f t="shared" si="1484"/>
        <v>0</v>
      </c>
      <c r="D1474" s="190">
        <f t="shared" si="1485"/>
        <v>0</v>
      </c>
      <c r="E1474" s="65">
        <f t="shared" si="1486"/>
        <v>0</v>
      </c>
      <c r="G1474" s="46" t="s">
        <v>110</v>
      </c>
      <c r="H1474" s="47"/>
      <c r="I1474" s="47"/>
      <c r="J1474" s="47"/>
      <c r="K1474" s="48"/>
    </row>
    <row r="1475" spans="2:11" ht="13.5" customHeight="1" outlineLevel="1" thickBot="1">
      <c r="B1475" s="38" t="s">
        <v>18</v>
      </c>
      <c r="C1475" s="65">
        <f t="shared" si="1484"/>
        <v>0</v>
      </c>
      <c r="D1475" s="190">
        <f t="shared" si="1485"/>
        <v>0</v>
      </c>
      <c r="E1475" s="65">
        <f t="shared" si="1486"/>
        <v>0</v>
      </c>
      <c r="G1475" s="343"/>
      <c r="H1475" s="343"/>
      <c r="I1475" s="98" t="s">
        <v>54</v>
      </c>
      <c r="J1475" s="98" t="s">
        <v>367</v>
      </c>
      <c r="K1475" s="98" t="s">
        <v>37</v>
      </c>
    </row>
    <row r="1476" spans="2:11" ht="13.5" customHeight="1" outlineLevel="1">
      <c r="G1476" s="38" t="str">
        <f>B14</f>
        <v>Liquidation of options</v>
      </c>
      <c r="I1476" s="54">
        <f t="shared" ref="I1476:I1485" ca="1" si="1487">L273</f>
        <v>0</v>
      </c>
      <c r="J1476" s="523">
        <f t="shared" ref="J1476:J1485" si="1488">1-tax</f>
        <v>0.65</v>
      </c>
      <c r="K1476" s="456">
        <f t="shared" ref="K1476:K1487" si="1489">M848</f>
        <v>0.14249999999999999</v>
      </c>
    </row>
    <row r="1477" spans="2:11" ht="13.5" customHeight="1" outlineLevel="1">
      <c r="B1477" s="46" t="s">
        <v>27</v>
      </c>
      <c r="C1477" s="47"/>
      <c r="D1477" s="47"/>
      <c r="E1477" s="48"/>
      <c r="G1477" s="38" t="str">
        <f>B15</f>
        <v>Revolver</v>
      </c>
      <c r="I1477" s="57">
        <f t="shared" ca="1" si="1487"/>
        <v>0</v>
      </c>
      <c r="J1477" s="523">
        <f t="shared" si="1488"/>
        <v>0.65</v>
      </c>
      <c r="K1477" s="456">
        <f t="shared" si="1489"/>
        <v>7.0300000000000001E-2</v>
      </c>
    </row>
    <row r="1478" spans="2:11" ht="13.5" customHeight="1" outlineLevel="1" thickBot="1">
      <c r="B1478" s="343"/>
      <c r="C1478" s="343"/>
      <c r="D1478" s="343"/>
      <c r="E1478" s="98" t="s">
        <v>1</v>
      </c>
      <c r="G1478" s="38" t="str">
        <f t="shared" ref="G1478:G1487" si="1490">B1302</f>
        <v>Term loan - A</v>
      </c>
      <c r="I1478" s="57">
        <f t="shared" ca="1" si="1487"/>
        <v>50</v>
      </c>
      <c r="J1478" s="523">
        <f t="shared" si="1488"/>
        <v>0.65</v>
      </c>
      <c r="K1478" s="456">
        <f t="shared" si="1489"/>
        <v>7.569999999999999E-2</v>
      </c>
    </row>
    <row r="1479" spans="2:11" ht="13.5" customHeight="1" outlineLevel="1">
      <c r="B1479" s="38" t="s">
        <v>123</v>
      </c>
      <c r="C1479" s="80"/>
      <c r="E1479" s="54">
        <f>E273</f>
        <v>230</v>
      </c>
      <c r="G1479" s="38" t="str">
        <f t="shared" si="1490"/>
        <v>Term loan - B</v>
      </c>
      <c r="I1479" s="57">
        <f t="shared" ca="1" si="1487"/>
        <v>0</v>
      </c>
      <c r="J1479" s="523">
        <f t="shared" si="1488"/>
        <v>0.65</v>
      </c>
      <c r="K1479" s="456">
        <f t="shared" si="1489"/>
        <v>8.7799999999999989E-2</v>
      </c>
    </row>
    <row r="1480" spans="2:11" ht="13.5" customHeight="1" outlineLevel="1">
      <c r="B1480" s="38" t="s">
        <v>124</v>
      </c>
      <c r="E1480" s="183">
        <f>T1300</f>
        <v>26.77</v>
      </c>
      <c r="G1480" s="38" t="str">
        <f t="shared" si="1490"/>
        <v>Senior note</v>
      </c>
      <c r="I1480" s="57">
        <f t="shared" ca="1" si="1487"/>
        <v>95</v>
      </c>
      <c r="J1480" s="523">
        <f t="shared" si="1488"/>
        <v>0.65</v>
      </c>
      <c r="K1480" s="456">
        <f t="shared" si="1489"/>
        <v>9.2799999999999994E-2</v>
      </c>
    </row>
    <row r="1481" spans="2:11" ht="13.5" customHeight="1" outlineLevel="1">
      <c r="B1481" s="38" t="s">
        <v>125</v>
      </c>
      <c r="E1481" s="65">
        <f>IF(ISERROR(E1479/E1480),0,E1479/E1480)</f>
        <v>8.591707134852447</v>
      </c>
      <c r="G1481" s="38" t="str">
        <f t="shared" si="1490"/>
        <v>Subordinated note</v>
      </c>
      <c r="I1481" s="57">
        <f t="shared" ca="1" si="1487"/>
        <v>47.5</v>
      </c>
      <c r="J1481" s="523">
        <f t="shared" si="1488"/>
        <v>0.65</v>
      </c>
      <c r="K1481" s="456">
        <f t="shared" si="1489"/>
        <v>0.10249999999999999</v>
      </c>
    </row>
    <row r="1482" spans="2:11" ht="13.5" customHeight="1" outlineLevel="1">
      <c r="G1482" s="38" t="str">
        <f t="shared" si="1490"/>
        <v>Mezzanine</v>
      </c>
      <c r="I1482" s="57">
        <f t="shared" ca="1" si="1487"/>
        <v>0</v>
      </c>
      <c r="J1482" s="523">
        <f t="shared" si="1488"/>
        <v>0.65</v>
      </c>
      <c r="K1482" s="456">
        <f t="shared" si="1489"/>
        <v>0.105</v>
      </c>
    </row>
    <row r="1483" spans="2:11" ht="13.5" customHeight="1" outlineLevel="1">
      <c r="B1483" s="46" t="s">
        <v>338</v>
      </c>
      <c r="C1483" s="47"/>
      <c r="D1483" s="47"/>
      <c r="E1483" s="48"/>
      <c r="G1483" s="38" t="str">
        <f t="shared" si="1490"/>
        <v>Seller note</v>
      </c>
      <c r="I1483" s="57">
        <f t="shared" ca="1" si="1487"/>
        <v>0</v>
      </c>
      <c r="J1483" s="523">
        <f t="shared" si="1488"/>
        <v>0.65</v>
      </c>
      <c r="K1483" s="456">
        <f t="shared" si="1489"/>
        <v>0.105</v>
      </c>
    </row>
    <row r="1484" spans="2:11" ht="13.5" customHeight="1" outlineLevel="1">
      <c r="B1484" s="38" t="s">
        <v>335</v>
      </c>
      <c r="C1484" s="336"/>
      <c r="D1484" s="336"/>
      <c r="E1484" s="65">
        <f ca="1">P14</f>
        <v>34.921999999999997</v>
      </c>
      <c r="G1484" s="38" t="str">
        <f t="shared" si="1490"/>
        <v>Convertible bond</v>
      </c>
      <c r="I1484" s="57">
        <f t="shared" ca="1" si="1487"/>
        <v>0</v>
      </c>
      <c r="J1484" s="523">
        <f t="shared" si="1488"/>
        <v>0.65</v>
      </c>
      <c r="K1484" s="456">
        <f t="shared" si="1489"/>
        <v>0.11</v>
      </c>
    </row>
    <row r="1485" spans="2:11" ht="13.5" customHeight="1" outlineLevel="1">
      <c r="B1485" s="38" t="s">
        <v>336</v>
      </c>
      <c r="E1485" s="65">
        <f>SUM(E1466:E1475)</f>
        <v>9.9206088992974312E-2</v>
      </c>
      <c r="G1485" s="38" t="str">
        <f t="shared" si="1490"/>
        <v>[Debt 8]</v>
      </c>
      <c r="I1485" s="57">
        <f t="shared" ca="1" si="1487"/>
        <v>0</v>
      </c>
      <c r="J1485" s="523">
        <f t="shared" si="1488"/>
        <v>0.65</v>
      </c>
      <c r="K1485" s="456">
        <f t="shared" si="1489"/>
        <v>2.7799999999999998E-2</v>
      </c>
    </row>
    <row r="1486" spans="2:11" ht="13.5" customHeight="1" outlineLevel="1">
      <c r="B1486" s="38" t="s">
        <v>337</v>
      </c>
      <c r="E1486" s="65">
        <f>IF(E1480&gt;E1461,0,E1481)</f>
        <v>0</v>
      </c>
      <c r="G1486" s="38" t="str">
        <f t="shared" si="1490"/>
        <v>Preferred stock - A</v>
      </c>
      <c r="I1486" s="57">
        <f ca="1">L288</f>
        <v>9.5</v>
      </c>
      <c r="J1486" s="523">
        <v>1</v>
      </c>
      <c r="K1486" s="456">
        <f t="shared" si="1489"/>
        <v>0.12</v>
      </c>
    </row>
    <row r="1487" spans="2:11" ht="13.5" customHeight="1" outlineLevel="1">
      <c r="B1487" s="52" t="s">
        <v>240</v>
      </c>
      <c r="C1487" s="52"/>
      <c r="D1487" s="52"/>
      <c r="E1487" s="70">
        <f ca="1">SUM(E1484:E1486)</f>
        <v>35.021206088992969</v>
      </c>
      <c r="G1487" s="38" t="str">
        <f t="shared" si="1490"/>
        <v>Preferred stock - B</v>
      </c>
      <c r="I1487" s="57">
        <f ca="1">L289</f>
        <v>0</v>
      </c>
      <c r="J1487" s="523">
        <v>1</v>
      </c>
      <c r="K1487" s="456">
        <f t="shared" si="1489"/>
        <v>0.125</v>
      </c>
    </row>
    <row r="1488" spans="2:11" ht="13.5" customHeight="1" outlineLevel="1">
      <c r="E1488" s="65"/>
      <c r="G1488" s="38" t="s">
        <v>361</v>
      </c>
      <c r="I1488" s="57">
        <f ca="1">SUM(L290:L292)</f>
        <v>515.78982152835295</v>
      </c>
      <c r="J1488" s="523">
        <v>1</v>
      </c>
      <c r="K1488" s="259">
        <f ca="1">K1472</f>
        <v>7.7536198568322584E-2</v>
      </c>
    </row>
    <row r="1489" spans="1:22" ht="13.5" customHeight="1" outlineLevel="1">
      <c r="E1489" s="65"/>
      <c r="G1489" s="76" t="s">
        <v>107</v>
      </c>
      <c r="H1489" s="457"/>
      <c r="I1489" s="457"/>
      <c r="J1489" s="457"/>
      <c r="K1489" s="458">
        <f ca="1">SUMPRODUCT(I1476:I1488,K1476:K1488,J1476:J1488)/SUM(I1476:I1488)</f>
        <v>7.3124078870027212E-2</v>
      </c>
    </row>
    <row r="1490" spans="1:22" ht="5.0999999999999996" customHeight="1" outlineLevel="1" thickBot="1">
      <c r="B1490" s="152"/>
      <c r="C1490" s="152"/>
      <c r="D1490" s="152"/>
      <c r="E1490" s="152"/>
      <c r="F1490" s="152"/>
      <c r="G1490" s="152"/>
      <c r="H1490" s="152"/>
      <c r="I1490" s="152"/>
      <c r="J1490" s="152"/>
      <c r="K1490" s="152"/>
      <c r="L1490" s="152"/>
      <c r="M1490" s="152"/>
      <c r="N1490" s="152"/>
      <c r="O1490" s="152"/>
      <c r="P1490" s="152"/>
      <c r="Q1490" s="152"/>
      <c r="R1490" s="152"/>
      <c r="S1490" s="152"/>
      <c r="T1490" s="152"/>
      <c r="U1490" s="152"/>
      <c r="V1490" s="152"/>
    </row>
    <row r="1491" spans="1:22" ht="13.5" customHeight="1" outlineLevel="1"/>
    <row r="1492" spans="1:22" ht="13.5" customHeight="1" outlineLevel="1" thickBot="1"/>
    <row r="1493" spans="1:22" s="35" customFormat="1" ht="20.100000000000001" customHeight="1" thickTop="1">
      <c r="A1493" s="41" t="s">
        <v>426</v>
      </c>
      <c r="B1493" s="42" t="s">
        <v>652</v>
      </c>
      <c r="C1493" s="43"/>
      <c r="D1493" s="44"/>
      <c r="E1493" s="44"/>
      <c r="F1493" s="44"/>
      <c r="G1493" s="44"/>
      <c r="H1493" s="44"/>
      <c r="I1493" s="44"/>
      <c r="J1493" s="44"/>
      <c r="K1493" s="44"/>
      <c r="L1493" s="44"/>
      <c r="M1493" s="44"/>
      <c r="N1493" s="44"/>
      <c r="O1493" s="44"/>
      <c r="P1493" s="44"/>
      <c r="Q1493" s="44"/>
      <c r="R1493" s="44"/>
      <c r="S1493" s="44"/>
      <c r="T1493" s="44"/>
      <c r="U1493" s="44"/>
      <c r="V1493" s="44"/>
    </row>
    <row r="1494" spans="1:22" ht="13.5" customHeight="1" outlineLevel="1">
      <c r="B1494" s="154"/>
      <c r="V1494" s="122" t="str">
        <f ca="1">err_msg</f>
        <v/>
      </c>
    </row>
    <row r="1495" spans="1:22" ht="13.5" customHeight="1" outlineLevel="1">
      <c r="B1495" s="46" t="s">
        <v>651</v>
      </c>
      <c r="C1495" s="47"/>
      <c r="D1495" s="47"/>
      <c r="E1495" s="47"/>
      <c r="F1495" s="47"/>
      <c r="G1495" s="47"/>
      <c r="H1495" s="48"/>
      <c r="V1495" s="122"/>
    </row>
    <row r="1496" spans="1:22" ht="5.0999999999999996" customHeight="1" outlineLevel="1">
      <c r="V1496" s="122"/>
    </row>
    <row r="1497" spans="1:22" ht="13.5" customHeight="1" outlineLevel="1">
      <c r="E1497" s="206" t="s">
        <v>650</v>
      </c>
      <c r="F1497" s="205" t="s">
        <v>649</v>
      </c>
      <c r="G1497" s="205"/>
      <c r="H1497" s="205"/>
      <c r="V1497" s="122"/>
    </row>
    <row r="1498" spans="1:22" ht="13.5" customHeight="1" outlineLevel="1" thickBot="1">
      <c r="B1498" s="130" t="s">
        <v>246</v>
      </c>
      <c r="C1498" s="208"/>
      <c r="D1498" s="208"/>
      <c r="E1498" s="210" t="s">
        <v>645</v>
      </c>
      <c r="F1498" s="210" t="s">
        <v>646</v>
      </c>
      <c r="G1498" s="210" t="s">
        <v>647</v>
      </c>
      <c r="H1498" s="210" t="s">
        <v>648</v>
      </c>
      <c r="V1498" s="122"/>
    </row>
    <row r="1499" spans="1:22" ht="5.0999999999999996" customHeight="1" outlineLevel="1">
      <c r="G1499" s="459"/>
      <c r="V1499" s="122"/>
    </row>
    <row r="1500" spans="1:22" ht="13.5" customHeight="1" outlineLevel="1">
      <c r="B1500" s="223" t="s">
        <v>330</v>
      </c>
      <c r="C1500" s="223"/>
      <c r="D1500" s="223"/>
      <c r="E1500" s="460">
        <f ca="1">M1264</f>
        <v>520.71831193147796</v>
      </c>
      <c r="F1500" s="461">
        <f ca="1">IFERROR(E1500/E$1514,0)</f>
        <v>0.98115761266347423</v>
      </c>
      <c r="G1500" s="461">
        <f ca="1">F1500*(1-SUM($G$1503:$G$1513))</f>
        <v>0.95908156637854614</v>
      </c>
      <c r="H1500" s="461">
        <f ca="1">G1500*(1-H$1513)</f>
        <v>0.95428615854665344</v>
      </c>
      <c r="V1500" s="122"/>
    </row>
    <row r="1501" spans="1:22" ht="13.5" customHeight="1" outlineLevel="1">
      <c r="B1501" s="223" t="s">
        <v>416</v>
      </c>
      <c r="C1501" s="223"/>
      <c r="D1501" s="223"/>
      <c r="E1501" s="218">
        <f>M1265</f>
        <v>10</v>
      </c>
      <c r="F1501" s="461">
        <f ca="1">IFERROR(E1501/E$1514,0)</f>
        <v>1.8842387336525743E-2</v>
      </c>
      <c r="G1501" s="461">
        <f ca="1">F1501*(1-SUM($G$1503:$G$1513))</f>
        <v>1.8418433621453914E-2</v>
      </c>
      <c r="H1501" s="461">
        <f ca="1">G1501*(1-H$1513)</f>
        <v>1.8326341453346644E-2</v>
      </c>
      <c r="V1501" s="122"/>
    </row>
    <row r="1502" spans="1:22" ht="13.5" customHeight="1" outlineLevel="1">
      <c r="B1502" s="150" t="s">
        <v>656</v>
      </c>
      <c r="E1502" s="103"/>
      <c r="F1502" s="456"/>
      <c r="G1502" s="78"/>
      <c r="H1502" s="63"/>
      <c r="V1502" s="122"/>
    </row>
    <row r="1503" spans="1:22" ht="13.5" customHeight="1" outlineLevel="1">
      <c r="B1503" s="88" t="str">
        <f t="shared" ref="B1503:B1512" si="1491">B1254</f>
        <v>Term loan - A</v>
      </c>
      <c r="E1503" s="509">
        <v>0</v>
      </c>
      <c r="F1503" s="456">
        <f t="shared" ref="F1503:F1513" ca="1" si="1492">IFERROR(E1503/E$1514,0)</f>
        <v>0</v>
      </c>
      <c r="G1503" s="532">
        <v>0</v>
      </c>
      <c r="H1503" s="63">
        <f t="shared" ref="H1503:H1512" si="1493">G1503*(1-H$1513)</f>
        <v>0</v>
      </c>
      <c r="V1503" s="122"/>
    </row>
    <row r="1504" spans="1:22" ht="13.5" customHeight="1" outlineLevel="1">
      <c r="B1504" s="88" t="str">
        <f t="shared" si="1491"/>
        <v>Term loan - B</v>
      </c>
      <c r="E1504" s="509">
        <v>0</v>
      </c>
      <c r="F1504" s="456">
        <f t="shared" ca="1" si="1492"/>
        <v>0</v>
      </c>
      <c r="G1504" s="532">
        <v>0</v>
      </c>
      <c r="H1504" s="63">
        <f t="shared" si="1493"/>
        <v>0</v>
      </c>
      <c r="V1504" s="122"/>
    </row>
    <row r="1505" spans="2:22" ht="13.5" customHeight="1" outlineLevel="1">
      <c r="B1505" s="88" t="str">
        <f t="shared" si="1491"/>
        <v>Senior note</v>
      </c>
      <c r="E1505" s="509">
        <v>0</v>
      </c>
      <c r="F1505" s="456">
        <f t="shared" ca="1" si="1492"/>
        <v>0</v>
      </c>
      <c r="G1505" s="532">
        <v>0</v>
      </c>
      <c r="H1505" s="63">
        <f t="shared" si="1493"/>
        <v>0</v>
      </c>
      <c r="V1505" s="122"/>
    </row>
    <row r="1506" spans="2:22" ht="13.5" customHeight="1" outlineLevel="1">
      <c r="B1506" s="88" t="str">
        <f t="shared" si="1491"/>
        <v>Subordinated note</v>
      </c>
      <c r="E1506" s="509">
        <v>0</v>
      </c>
      <c r="F1506" s="456">
        <f t="shared" ca="1" si="1492"/>
        <v>0</v>
      </c>
      <c r="G1506" s="532">
        <v>0.02</v>
      </c>
      <c r="H1506" s="63">
        <f t="shared" si="1493"/>
        <v>1.9900000000000001E-2</v>
      </c>
      <c r="V1506" s="122"/>
    </row>
    <row r="1507" spans="2:22" ht="13.5" customHeight="1" outlineLevel="1">
      <c r="B1507" s="88" t="str">
        <f t="shared" si="1491"/>
        <v>Mezzanine</v>
      </c>
      <c r="E1507" s="509">
        <v>0</v>
      </c>
      <c r="F1507" s="456">
        <f t="shared" ca="1" si="1492"/>
        <v>0</v>
      </c>
      <c r="G1507" s="532">
        <v>0</v>
      </c>
      <c r="H1507" s="63">
        <f t="shared" si="1493"/>
        <v>0</v>
      </c>
      <c r="V1507" s="122"/>
    </row>
    <row r="1508" spans="2:22" ht="13.5" customHeight="1" outlineLevel="1">
      <c r="B1508" s="88" t="str">
        <f t="shared" si="1491"/>
        <v>Seller note</v>
      </c>
      <c r="E1508" s="509">
        <v>0</v>
      </c>
      <c r="F1508" s="456">
        <f t="shared" ca="1" si="1492"/>
        <v>0</v>
      </c>
      <c r="G1508" s="532">
        <v>0</v>
      </c>
      <c r="H1508" s="63">
        <f t="shared" si="1493"/>
        <v>0</v>
      </c>
      <c r="V1508" s="122"/>
    </row>
    <row r="1509" spans="2:22" ht="13.5" customHeight="1" outlineLevel="1">
      <c r="B1509" s="88" t="str">
        <f t="shared" si="1491"/>
        <v>Convertible bond</v>
      </c>
      <c r="E1509" s="509">
        <v>0</v>
      </c>
      <c r="F1509" s="456">
        <f t="shared" ca="1" si="1492"/>
        <v>0</v>
      </c>
      <c r="G1509" s="532">
        <v>0</v>
      </c>
      <c r="H1509" s="63">
        <f t="shared" si="1493"/>
        <v>0</v>
      </c>
      <c r="V1509" s="122"/>
    </row>
    <row r="1510" spans="2:22" ht="13.5" customHeight="1" outlineLevel="1">
      <c r="B1510" s="88" t="str">
        <f t="shared" si="1491"/>
        <v>[Debt 8]</v>
      </c>
      <c r="E1510" s="509">
        <v>0</v>
      </c>
      <c r="F1510" s="456">
        <f t="shared" ca="1" si="1492"/>
        <v>0</v>
      </c>
      <c r="G1510" s="532">
        <v>0</v>
      </c>
      <c r="H1510" s="63">
        <f t="shared" si="1493"/>
        <v>0</v>
      </c>
      <c r="V1510" s="122"/>
    </row>
    <row r="1511" spans="2:22" ht="13.5" customHeight="1" outlineLevel="1">
      <c r="B1511" s="88" t="str">
        <f t="shared" si="1491"/>
        <v>Preferred stock - A</v>
      </c>
      <c r="E1511" s="509">
        <v>0</v>
      </c>
      <c r="F1511" s="456">
        <f t="shared" ca="1" si="1492"/>
        <v>0</v>
      </c>
      <c r="G1511" s="532">
        <v>2.5000000000000001E-3</v>
      </c>
      <c r="H1511" s="63">
        <f t="shared" si="1493"/>
        <v>2.4875000000000001E-3</v>
      </c>
      <c r="V1511" s="122"/>
    </row>
    <row r="1512" spans="2:22" ht="13.5" customHeight="1" outlineLevel="1">
      <c r="B1512" s="88" t="str">
        <f t="shared" si="1491"/>
        <v>Preferred stock - B</v>
      </c>
      <c r="E1512" s="509">
        <v>0</v>
      </c>
      <c r="F1512" s="456">
        <f t="shared" ca="1" si="1492"/>
        <v>0</v>
      </c>
      <c r="G1512" s="532">
        <v>0</v>
      </c>
      <c r="H1512" s="63">
        <f t="shared" si="1493"/>
        <v>0</v>
      </c>
      <c r="V1512" s="122"/>
    </row>
    <row r="1513" spans="2:22" ht="13.5" customHeight="1" outlineLevel="1">
      <c r="B1513" s="88" t="s">
        <v>329</v>
      </c>
      <c r="E1513" s="509">
        <v>0</v>
      </c>
      <c r="F1513" s="456">
        <f t="shared" ca="1" si="1492"/>
        <v>0</v>
      </c>
      <c r="G1513" s="532">
        <v>0</v>
      </c>
      <c r="H1513" s="532">
        <v>5.0000000000000001E-3</v>
      </c>
      <c r="V1513" s="122"/>
    </row>
    <row r="1514" spans="2:22" ht="13.5" customHeight="1" outlineLevel="1">
      <c r="B1514" s="52" t="s">
        <v>19</v>
      </c>
      <c r="C1514" s="52"/>
      <c r="D1514" s="52"/>
      <c r="E1514" s="67">
        <f ca="1">SUM(E1500:E1513)</f>
        <v>530.71831193147796</v>
      </c>
      <c r="F1514" s="455">
        <f ca="1">SUM(F1500:F1513)</f>
        <v>1</v>
      </c>
      <c r="G1514" s="455">
        <f ca="1">SUM(G1500:G1513)</f>
        <v>1</v>
      </c>
      <c r="H1514" s="455">
        <f ca="1">SUM(H1500:H1513)</f>
        <v>1</v>
      </c>
      <c r="V1514" s="122"/>
    </row>
    <row r="1515" spans="2:22" ht="5.0999999999999996" customHeight="1" outlineLevel="1" thickBot="1">
      <c r="B1515" s="152"/>
      <c r="C1515" s="152"/>
      <c r="D1515" s="152"/>
      <c r="E1515" s="462"/>
      <c r="F1515" s="463"/>
      <c r="G1515" s="463"/>
      <c r="H1515" s="463"/>
      <c r="V1515" s="122"/>
    </row>
    <row r="1516" spans="2:22" s="203" customFormat="1" ht="13.5" customHeight="1" outlineLevel="1">
      <c r="F1516" s="204"/>
      <c r="G1516" s="204"/>
      <c r="H1516" s="204"/>
      <c r="I1516" s="204"/>
      <c r="L1516" s="261"/>
      <c r="M1516" s="126" t="str">
        <f>M$144</f>
        <v>3 Quarters</v>
      </c>
      <c r="N1516" s="205" t="str">
        <f>N$144</f>
        <v>Fiscal Years Ending September 30,</v>
      </c>
      <c r="O1516" s="205"/>
      <c r="P1516" s="205"/>
      <c r="Q1516" s="205"/>
      <c r="R1516" s="205"/>
      <c r="S1516" s="205"/>
      <c r="T1516" s="205"/>
      <c r="U1516" s="205"/>
      <c r="V1516" s="205"/>
    </row>
    <row r="1517" spans="2:22" s="203" customFormat="1" ht="13.5" customHeight="1" outlineLevel="1">
      <c r="F1517" s="265"/>
      <c r="G1517" s="265"/>
      <c r="H1517" s="265"/>
      <c r="I1517" s="265"/>
      <c r="L1517" s="109" t="s">
        <v>61</v>
      </c>
      <c r="M1517" s="109" t="str">
        <f t="shared" ref="M1517" si="1494">M$145</f>
        <v>Ending</v>
      </c>
      <c r="N1517" s="109">
        <f>N$145</f>
        <v>2</v>
      </c>
      <c r="O1517" s="109">
        <f t="shared" ref="O1517:V1517" si="1495">O$145</f>
        <v>3</v>
      </c>
      <c r="P1517" s="109">
        <f t="shared" si="1495"/>
        <v>4</v>
      </c>
      <c r="Q1517" s="109">
        <f t="shared" si="1495"/>
        <v>5</v>
      </c>
      <c r="R1517" s="109">
        <f t="shared" si="1495"/>
        <v>6</v>
      </c>
      <c r="S1517" s="109">
        <f t="shared" si="1495"/>
        <v>7</v>
      </c>
      <c r="T1517" s="109">
        <f t="shared" si="1495"/>
        <v>8</v>
      </c>
      <c r="U1517" s="109">
        <f t="shared" si="1495"/>
        <v>9</v>
      </c>
      <c r="V1517" s="109">
        <f t="shared" si="1495"/>
        <v>10</v>
      </c>
    </row>
    <row r="1518" spans="2:22" s="203" customFormat="1" ht="13.5" customHeight="1" outlineLevel="1" thickBot="1">
      <c r="B1518" s="130" t="s">
        <v>246</v>
      </c>
      <c r="C1518" s="208"/>
      <c r="D1518" s="208"/>
      <c r="E1518" s="208"/>
      <c r="F1518" s="266"/>
      <c r="G1518" s="266"/>
      <c r="H1518" s="266"/>
      <c r="I1518" s="266"/>
      <c r="J1518" s="208"/>
      <c r="K1518" s="208"/>
      <c r="L1518" s="209">
        <f>close</f>
        <v>45291</v>
      </c>
      <c r="M1518" s="209">
        <f t="shared" ref="M1518:V1518" si="1496">M$146</f>
        <v>45565</v>
      </c>
      <c r="N1518" s="211">
        <f t="shared" si="1496"/>
        <v>45930</v>
      </c>
      <c r="O1518" s="211">
        <f t="shared" si="1496"/>
        <v>46295</v>
      </c>
      <c r="P1518" s="211">
        <f t="shared" si="1496"/>
        <v>46660</v>
      </c>
      <c r="Q1518" s="211">
        <f t="shared" si="1496"/>
        <v>47026</v>
      </c>
      <c r="R1518" s="211">
        <f t="shared" si="1496"/>
        <v>47391</v>
      </c>
      <c r="S1518" s="211">
        <f t="shared" si="1496"/>
        <v>47756</v>
      </c>
      <c r="T1518" s="211">
        <f t="shared" si="1496"/>
        <v>48121</v>
      </c>
      <c r="U1518" s="211">
        <f t="shared" si="1496"/>
        <v>48487</v>
      </c>
      <c r="V1518" s="211">
        <f t="shared" si="1496"/>
        <v>48852</v>
      </c>
    </row>
    <row r="1519" spans="2:22" s="35" customFormat="1" ht="5.0999999999999996" customHeight="1" outlineLevel="1">
      <c r="C1519" s="464"/>
      <c r="D1519" s="464"/>
      <c r="E1519" s="464"/>
      <c r="F1519" s="465"/>
      <c r="G1519" s="465"/>
      <c r="H1519" s="465"/>
      <c r="K1519" s="465"/>
      <c r="L1519" s="466"/>
      <c r="M1519" s="467"/>
      <c r="N1519" s="467"/>
      <c r="O1519" s="467"/>
      <c r="P1519" s="467"/>
      <c r="Q1519" s="467"/>
      <c r="R1519" s="467"/>
      <c r="S1519" s="467"/>
      <c r="T1519" s="467"/>
      <c r="U1519" s="467"/>
      <c r="V1519" s="467"/>
    </row>
    <row r="1520" spans="2:22" ht="13.5" customHeight="1" outlineLevel="1">
      <c r="B1520" s="38" t="s">
        <v>654</v>
      </c>
      <c r="C1520" s="307"/>
      <c r="D1520" s="307"/>
      <c r="E1520" s="307"/>
      <c r="F1520" s="459"/>
      <c r="G1520" s="459"/>
      <c r="H1520" s="459"/>
      <c r="K1520" s="459"/>
      <c r="L1520" s="468"/>
      <c r="M1520" s="469" t="b">
        <f t="shared" ref="M1520:V1520" si="1497">M1517=exit_year</f>
        <v>0</v>
      </c>
      <c r="N1520" s="469" t="b">
        <f t="shared" si="1497"/>
        <v>0</v>
      </c>
      <c r="O1520" s="469" t="b">
        <f t="shared" si="1497"/>
        <v>0</v>
      </c>
      <c r="P1520" s="469" t="b">
        <f t="shared" si="1497"/>
        <v>1</v>
      </c>
      <c r="Q1520" s="469" t="b">
        <f t="shared" si="1497"/>
        <v>0</v>
      </c>
      <c r="R1520" s="469" t="b">
        <f t="shared" si="1497"/>
        <v>0</v>
      </c>
      <c r="S1520" s="469" t="b">
        <f t="shared" si="1497"/>
        <v>0</v>
      </c>
      <c r="T1520" s="469" t="b">
        <f t="shared" si="1497"/>
        <v>0</v>
      </c>
      <c r="U1520" s="469" t="b">
        <f t="shared" si="1497"/>
        <v>0</v>
      </c>
      <c r="V1520" s="469" t="b">
        <f t="shared" si="1497"/>
        <v>0</v>
      </c>
    </row>
    <row r="1521" spans="2:22" ht="13.5" customHeight="1" outlineLevel="1">
      <c r="C1521" s="307"/>
      <c r="D1521" s="307"/>
      <c r="E1521" s="307"/>
      <c r="F1521" s="459"/>
      <c r="G1521" s="459"/>
      <c r="H1521" s="459"/>
      <c r="K1521" s="459"/>
      <c r="L1521" s="468"/>
      <c r="M1521" s="470"/>
      <c r="N1521" s="470"/>
      <c r="O1521" s="470"/>
      <c r="P1521" s="470"/>
      <c r="Q1521" s="470"/>
      <c r="R1521" s="470"/>
      <c r="S1521" s="470"/>
      <c r="T1521" s="470"/>
      <c r="U1521" s="470"/>
      <c r="V1521" s="470"/>
    </row>
    <row r="1522" spans="2:22" s="35" customFormat="1" ht="13.5" customHeight="1" outlineLevel="1">
      <c r="B1522" s="46" t="s">
        <v>66</v>
      </c>
      <c r="C1522" s="47"/>
      <c r="D1522" s="47"/>
      <c r="E1522" s="47"/>
      <c r="F1522" s="47"/>
      <c r="G1522" s="47"/>
      <c r="H1522" s="47"/>
      <c r="I1522" s="47"/>
      <c r="J1522" s="47"/>
      <c r="K1522" s="47"/>
      <c r="L1522" s="47"/>
      <c r="M1522" s="47"/>
      <c r="N1522" s="47"/>
      <c r="O1522" s="47"/>
      <c r="P1522" s="47"/>
      <c r="Q1522" s="47"/>
      <c r="R1522" s="47"/>
      <c r="S1522" s="47"/>
      <c r="T1522" s="47"/>
      <c r="U1522" s="47"/>
      <c r="V1522" s="48"/>
    </row>
    <row r="1523" spans="2:22" ht="5.0999999999999996" customHeight="1" outlineLevel="1">
      <c r="B1523" s="143"/>
      <c r="F1523" s="398"/>
      <c r="G1523" s="398"/>
      <c r="H1523" s="398"/>
    </row>
    <row r="1524" spans="2:22" ht="13.5" customHeight="1" outlineLevel="1">
      <c r="B1524" s="150" t="s">
        <v>309</v>
      </c>
      <c r="C1524" s="307"/>
      <c r="D1524" s="307"/>
      <c r="E1524" s="307"/>
      <c r="F1524" s="459"/>
      <c r="G1524" s="459"/>
      <c r="H1524" s="459"/>
      <c r="L1524" s="471"/>
    </row>
    <row r="1525" spans="2:22" ht="13.5" customHeight="1" outlineLevel="1">
      <c r="B1525" s="38" t="s">
        <v>657</v>
      </c>
      <c r="C1525" s="307"/>
      <c r="D1525" s="307"/>
      <c r="E1525" s="307"/>
      <c r="F1525" s="459"/>
      <c r="G1525" s="459"/>
      <c r="H1525" s="459"/>
      <c r="L1525" s="471"/>
      <c r="M1525" s="288">
        <f t="shared" ref="M1525:V1525" ca="1" si="1498">M154/M$148</f>
        <v>126.49999999999996</v>
      </c>
      <c r="N1525" s="288">
        <f t="shared" ca="1" si="1498"/>
        <v>155.90000000000003</v>
      </c>
      <c r="O1525" s="288">
        <f t="shared" ca="1" si="1498"/>
        <v>160.09999999999991</v>
      </c>
      <c r="P1525" s="288">
        <f t="shared" ca="1" si="1498"/>
        <v>161.26136025504778</v>
      </c>
      <c r="Q1525" s="288">
        <f t="shared" ca="1" si="1498"/>
        <v>162.43308759420017</v>
      </c>
      <c r="R1525" s="288">
        <f t="shared" ca="1" si="1498"/>
        <v>163.61527456103465</v>
      </c>
      <c r="S1525" s="288">
        <f t="shared" ca="1" si="1498"/>
        <v>164.80801452523522</v>
      </c>
      <c r="T1525" s="288">
        <f t="shared" ca="1" si="1498"/>
        <v>166.01140168996628</v>
      </c>
      <c r="U1525" s="288">
        <f t="shared" ca="1" si="1498"/>
        <v>167.22553109931346</v>
      </c>
      <c r="V1525" s="288">
        <f t="shared" ca="1" si="1498"/>
        <v>168.45049864578976</v>
      </c>
    </row>
    <row r="1526" spans="2:22" ht="13.5" customHeight="1" outlineLevel="1">
      <c r="B1526" s="38" t="s">
        <v>310</v>
      </c>
      <c r="C1526" s="307"/>
      <c r="D1526" s="307"/>
      <c r="E1526" s="307"/>
      <c r="F1526" s="459"/>
      <c r="G1526" s="459"/>
      <c r="H1526" s="459"/>
      <c r="L1526" s="471"/>
      <c r="M1526" s="472">
        <f>$P$43</f>
        <v>5</v>
      </c>
      <c r="N1526" s="472">
        <f t="shared" ref="N1526:V1526" si="1499">$P$43</f>
        <v>5</v>
      </c>
      <c r="O1526" s="472">
        <f t="shared" si="1499"/>
        <v>5</v>
      </c>
      <c r="P1526" s="472">
        <f t="shared" si="1499"/>
        <v>5</v>
      </c>
      <c r="Q1526" s="472">
        <f t="shared" si="1499"/>
        <v>5</v>
      </c>
      <c r="R1526" s="472">
        <f t="shared" si="1499"/>
        <v>5</v>
      </c>
      <c r="S1526" s="472">
        <f t="shared" si="1499"/>
        <v>5</v>
      </c>
      <c r="T1526" s="472">
        <f t="shared" si="1499"/>
        <v>5</v>
      </c>
      <c r="U1526" s="472">
        <f t="shared" si="1499"/>
        <v>5</v>
      </c>
      <c r="V1526" s="472">
        <f t="shared" si="1499"/>
        <v>5</v>
      </c>
    </row>
    <row r="1527" spans="2:22" ht="13.5" customHeight="1" outlineLevel="1">
      <c r="B1527" s="52" t="s">
        <v>322</v>
      </c>
      <c r="C1527" s="473"/>
      <c r="D1527" s="473"/>
      <c r="E1527" s="473"/>
      <c r="F1527" s="474"/>
      <c r="G1527" s="474"/>
      <c r="H1527" s="474"/>
      <c r="I1527" s="52"/>
      <c r="J1527" s="52"/>
      <c r="K1527" s="52"/>
      <c r="L1527" s="475"/>
      <c r="M1527" s="67">
        <f t="shared" ref="M1527:V1527" ca="1" si="1500">M1526*M1525</f>
        <v>632.49999999999977</v>
      </c>
      <c r="N1527" s="67">
        <f t="shared" ca="1" si="1500"/>
        <v>779.50000000000023</v>
      </c>
      <c r="O1527" s="67">
        <f t="shared" ca="1" si="1500"/>
        <v>800.49999999999955</v>
      </c>
      <c r="P1527" s="67">
        <f t="shared" ca="1" si="1500"/>
        <v>806.30680127523885</v>
      </c>
      <c r="Q1527" s="67">
        <f t="shared" ca="1" si="1500"/>
        <v>812.16543797100087</v>
      </c>
      <c r="R1527" s="67">
        <f t="shared" ca="1" si="1500"/>
        <v>818.07637280517326</v>
      </c>
      <c r="S1527" s="67">
        <f t="shared" ca="1" si="1500"/>
        <v>824.04007262617608</v>
      </c>
      <c r="T1527" s="67">
        <f t="shared" ca="1" si="1500"/>
        <v>830.05700844983141</v>
      </c>
      <c r="U1527" s="67">
        <f t="shared" ca="1" si="1500"/>
        <v>836.12765549656729</v>
      </c>
      <c r="V1527" s="67">
        <f t="shared" ca="1" si="1500"/>
        <v>842.25249322894888</v>
      </c>
    </row>
    <row r="1528" spans="2:22" ht="13.5" customHeight="1" outlineLevel="1">
      <c r="B1528" s="38" t="s">
        <v>311</v>
      </c>
      <c r="C1528" s="307"/>
      <c r="D1528" s="307"/>
      <c r="E1528" s="307"/>
      <c r="F1528" s="459"/>
      <c r="G1528" s="459"/>
      <c r="H1528" s="459"/>
      <c r="L1528" s="471"/>
      <c r="M1528" s="57">
        <f t="shared" ref="M1528:V1528" ca="1" si="1501">-M81</f>
        <v>-43.641105281630928</v>
      </c>
      <c r="N1528" s="57">
        <f t="shared" ca="1" si="1501"/>
        <v>48.081537303405412</v>
      </c>
      <c r="O1528" s="57">
        <f t="shared" ca="1" si="1501"/>
        <v>144.13544303217532</v>
      </c>
      <c r="P1528" s="57">
        <f t="shared" ca="1" si="1501"/>
        <v>241.97804289505572</v>
      </c>
      <c r="Q1528" s="57">
        <f t="shared" ca="1" si="1501"/>
        <v>341.88544760259992</v>
      </c>
      <c r="R1528" s="57">
        <f t="shared" ca="1" si="1501"/>
        <v>437.6019482298363</v>
      </c>
      <c r="S1528" s="57">
        <f t="shared" ca="1" si="1501"/>
        <v>535.67558474967427</v>
      </c>
      <c r="T1528" s="57">
        <f t="shared" ca="1" si="1501"/>
        <v>634.48625070485593</v>
      </c>
      <c r="U1528" s="57">
        <f t="shared" ca="1" si="1501"/>
        <v>741.40407997183013</v>
      </c>
      <c r="V1528" s="57">
        <f t="shared" ca="1" si="1501"/>
        <v>849.77800912159171</v>
      </c>
    </row>
    <row r="1529" spans="2:22" s="80" customFormat="1" ht="13.5" customHeight="1" outlineLevel="1">
      <c r="B1529" s="221" t="s">
        <v>321</v>
      </c>
      <c r="C1529" s="476"/>
      <c r="D1529" s="476"/>
      <c r="E1529" s="476"/>
      <c r="F1529" s="477"/>
      <c r="G1529" s="477"/>
      <c r="H1529" s="477"/>
      <c r="I1529" s="221"/>
      <c r="J1529" s="221"/>
      <c r="K1529" s="221"/>
      <c r="L1529" s="478"/>
      <c r="M1529" s="479">
        <f t="shared" ref="M1529:V1529" ca="1" si="1502">SUM(M1527:M1528)</f>
        <v>588.8588947183689</v>
      </c>
      <c r="N1529" s="479">
        <f t="shared" ca="1" si="1502"/>
        <v>827.58153730340564</v>
      </c>
      <c r="O1529" s="479">
        <f t="shared" ca="1" si="1502"/>
        <v>944.63544303217486</v>
      </c>
      <c r="P1529" s="479">
        <f t="shared" ca="1" si="1502"/>
        <v>1048.2848441702945</v>
      </c>
      <c r="Q1529" s="479">
        <f t="shared" ca="1" si="1502"/>
        <v>1154.0508855736007</v>
      </c>
      <c r="R1529" s="479">
        <f t="shared" ca="1" si="1502"/>
        <v>1255.6783210350095</v>
      </c>
      <c r="S1529" s="479">
        <f t="shared" ca="1" si="1502"/>
        <v>1359.7156573758502</v>
      </c>
      <c r="T1529" s="479">
        <f t="shared" ca="1" si="1502"/>
        <v>1464.5432591546873</v>
      </c>
      <c r="U1529" s="479">
        <f t="shared" ca="1" si="1502"/>
        <v>1577.5317354683975</v>
      </c>
      <c r="V1529" s="479">
        <f t="shared" ca="1" si="1502"/>
        <v>1692.0305023505407</v>
      </c>
    </row>
    <row r="1530" spans="2:22" ht="13.5" customHeight="1" outlineLevel="1">
      <c r="C1530" s="307"/>
      <c r="D1530" s="307"/>
      <c r="E1530" s="307"/>
      <c r="F1530" s="459"/>
      <c r="G1530" s="459"/>
      <c r="H1530" s="459"/>
      <c r="L1530" s="471"/>
      <c r="M1530" s="144"/>
      <c r="N1530" s="144"/>
      <c r="O1530" s="144"/>
      <c r="P1530" s="144"/>
      <c r="Q1530" s="144"/>
      <c r="R1530" s="144"/>
      <c r="S1530" s="144"/>
      <c r="T1530" s="144"/>
      <c r="U1530" s="144"/>
      <c r="V1530" s="144"/>
    </row>
    <row r="1531" spans="2:22" ht="13.5" customHeight="1" outlineLevel="1">
      <c r="B1531" s="150" t="s">
        <v>315</v>
      </c>
      <c r="C1531" s="307"/>
      <c r="D1531" s="307"/>
      <c r="E1531" s="307"/>
      <c r="F1531" s="459"/>
      <c r="G1531" s="459"/>
      <c r="H1531" s="459"/>
      <c r="L1531" s="471"/>
      <c r="M1531" s="144"/>
      <c r="N1531" s="144"/>
      <c r="O1531" s="144"/>
      <c r="P1531" s="144"/>
      <c r="Q1531" s="144"/>
      <c r="R1531" s="144"/>
      <c r="S1531" s="144"/>
      <c r="T1531" s="144"/>
      <c r="U1531" s="144"/>
      <c r="V1531" s="144"/>
    </row>
    <row r="1532" spans="2:22" ht="13.5" customHeight="1" outlineLevel="1">
      <c r="B1532" s="38" t="s">
        <v>658</v>
      </c>
      <c r="C1532" s="307"/>
      <c r="D1532" s="307"/>
      <c r="E1532" s="307"/>
      <c r="F1532" s="459"/>
      <c r="G1532" s="459"/>
      <c r="H1532" s="459"/>
      <c r="I1532" s="471"/>
      <c r="J1532" s="471"/>
      <c r="K1532" s="459"/>
      <c r="L1532" s="471"/>
      <c r="M1532" s="288">
        <f t="shared" ref="M1532:V1532" ca="1" si="1503">M184/M$148</f>
        <v>22.864871309775243</v>
      </c>
      <c r="N1532" s="288">
        <f t="shared" ca="1" si="1503"/>
        <v>43.973208026515351</v>
      </c>
      <c r="O1532" s="288">
        <f t="shared" ca="1" si="1503"/>
        <v>46.807755195836222</v>
      </c>
      <c r="P1532" s="288">
        <f t="shared" ca="1" si="1503"/>
        <v>47.483009186760881</v>
      </c>
      <c r="Q1532" s="288">
        <f t="shared" ca="1" si="1503"/>
        <v>49.319113075478029</v>
      </c>
      <c r="R1532" s="288">
        <f t="shared" ca="1" si="1503"/>
        <v>61.583892896262533</v>
      </c>
      <c r="S1532" s="288">
        <f t="shared" ca="1" si="1503"/>
        <v>69.270368663079111</v>
      </c>
      <c r="T1532" s="288">
        <f t="shared" ca="1" si="1503"/>
        <v>71.640820056952364</v>
      </c>
      <c r="U1532" s="288">
        <f t="shared" ca="1" si="1503"/>
        <v>80.133773715791577</v>
      </c>
      <c r="V1532" s="288">
        <f t="shared" ca="1" si="1503"/>
        <v>81.350781072936172</v>
      </c>
    </row>
    <row r="1533" spans="2:22" ht="13.5" customHeight="1" outlineLevel="1">
      <c r="B1533" s="38" t="s">
        <v>314</v>
      </c>
      <c r="C1533" s="307"/>
      <c r="D1533" s="307"/>
      <c r="E1533" s="307"/>
      <c r="F1533" s="459"/>
      <c r="G1533" s="459"/>
      <c r="H1533" s="459"/>
      <c r="K1533" s="459"/>
      <c r="L1533" s="471"/>
      <c r="M1533" s="472">
        <f t="shared" ref="M1533:V1533" si="1504">$P$44</f>
        <v>14</v>
      </c>
      <c r="N1533" s="472">
        <f t="shared" si="1504"/>
        <v>14</v>
      </c>
      <c r="O1533" s="472">
        <f t="shared" si="1504"/>
        <v>14</v>
      </c>
      <c r="P1533" s="472">
        <f t="shared" si="1504"/>
        <v>14</v>
      </c>
      <c r="Q1533" s="472">
        <f t="shared" si="1504"/>
        <v>14</v>
      </c>
      <c r="R1533" s="472">
        <f t="shared" si="1504"/>
        <v>14</v>
      </c>
      <c r="S1533" s="472">
        <f t="shared" si="1504"/>
        <v>14</v>
      </c>
      <c r="T1533" s="472">
        <f t="shared" si="1504"/>
        <v>14</v>
      </c>
      <c r="U1533" s="472">
        <f t="shared" si="1504"/>
        <v>14</v>
      </c>
      <c r="V1533" s="472">
        <f t="shared" si="1504"/>
        <v>14</v>
      </c>
    </row>
    <row r="1534" spans="2:22" s="80" customFormat="1" ht="13.5" customHeight="1" outlineLevel="1">
      <c r="B1534" s="221" t="s">
        <v>321</v>
      </c>
      <c r="C1534" s="476"/>
      <c r="D1534" s="476"/>
      <c r="E1534" s="476"/>
      <c r="F1534" s="477"/>
      <c r="G1534" s="477"/>
      <c r="H1534" s="477"/>
      <c r="I1534" s="221"/>
      <c r="J1534" s="221"/>
      <c r="K1534" s="221"/>
      <c r="L1534" s="478"/>
      <c r="M1534" s="479">
        <f ca="1">M1533*M1532</f>
        <v>320.10819833685338</v>
      </c>
      <c r="N1534" s="479">
        <f t="shared" ref="N1534:V1534" ca="1" si="1505">N1533*N1532</f>
        <v>615.62491237121492</v>
      </c>
      <c r="O1534" s="479">
        <f t="shared" ca="1" si="1505"/>
        <v>655.30857274170717</v>
      </c>
      <c r="P1534" s="479">
        <f t="shared" ca="1" si="1505"/>
        <v>664.76212861465228</v>
      </c>
      <c r="Q1534" s="479">
        <f t="shared" ca="1" si="1505"/>
        <v>690.46758305669243</v>
      </c>
      <c r="R1534" s="479">
        <f t="shared" ca="1" si="1505"/>
        <v>862.17450054767551</v>
      </c>
      <c r="S1534" s="479">
        <f t="shared" ca="1" si="1505"/>
        <v>969.78516128310753</v>
      </c>
      <c r="T1534" s="479">
        <f t="shared" ca="1" si="1505"/>
        <v>1002.9714807973331</v>
      </c>
      <c r="U1534" s="479">
        <f t="shared" ca="1" si="1505"/>
        <v>1121.8728320210821</v>
      </c>
      <c r="V1534" s="479">
        <f t="shared" ca="1" si="1505"/>
        <v>1138.9109350211065</v>
      </c>
    </row>
    <row r="1535" spans="2:22" ht="13.5" customHeight="1" outlineLevel="1">
      <c r="C1535" s="307"/>
      <c r="D1535" s="307"/>
      <c r="E1535" s="307"/>
      <c r="F1535" s="459"/>
      <c r="G1535" s="459"/>
      <c r="H1535" s="459"/>
      <c r="I1535" s="471"/>
      <c r="J1535" s="471"/>
      <c r="K1535" s="459"/>
      <c r="L1535" s="471"/>
      <c r="M1535" s="144"/>
      <c r="N1535" s="144"/>
      <c r="O1535" s="144"/>
      <c r="P1535" s="144"/>
      <c r="Q1535" s="144"/>
      <c r="R1535" s="144"/>
      <c r="S1535" s="144"/>
      <c r="T1535" s="144"/>
      <c r="U1535" s="144"/>
      <c r="V1535" s="144"/>
    </row>
    <row r="1536" spans="2:22" ht="13.5" customHeight="1" outlineLevel="1">
      <c r="B1536" s="150" t="s">
        <v>316</v>
      </c>
      <c r="C1536" s="307"/>
      <c r="D1536" s="307"/>
      <c r="E1536" s="307"/>
      <c r="F1536" s="459"/>
      <c r="G1536" s="459"/>
      <c r="H1536" s="459"/>
      <c r="L1536" s="471"/>
      <c r="M1536" s="144"/>
      <c r="N1536" s="144"/>
      <c r="O1536" s="144"/>
      <c r="P1536" s="144"/>
      <c r="Q1536" s="144"/>
      <c r="R1536" s="144"/>
      <c r="S1536" s="144"/>
      <c r="T1536" s="144"/>
      <c r="U1536" s="144"/>
      <c r="V1536" s="144"/>
    </row>
    <row r="1537" spans="2:22" ht="13.5" customHeight="1" outlineLevel="1">
      <c r="B1537" s="38" t="s">
        <v>659</v>
      </c>
      <c r="C1537" s="307"/>
      <c r="D1537" s="307"/>
      <c r="E1537" s="307"/>
      <c r="F1537" s="459"/>
      <c r="G1537" s="459"/>
      <c r="H1537" s="459"/>
      <c r="I1537" s="471"/>
      <c r="J1537" s="471"/>
      <c r="K1537" s="459"/>
      <c r="L1537" s="471"/>
      <c r="M1537" s="288">
        <f t="shared" ref="M1537:V1537" ca="1" si="1506">M191/M$148</f>
        <v>57.62462078071426</v>
      </c>
      <c r="N1537" s="288">
        <f t="shared" ca="1" si="1506"/>
        <v>78.862956897454353</v>
      </c>
      <c r="O1537" s="288">
        <f t="shared" ca="1" si="1506"/>
        <v>81.697504066775224</v>
      </c>
      <c r="P1537" s="288">
        <f t="shared" ca="1" si="1506"/>
        <v>82.550889010261002</v>
      </c>
      <c r="Q1537" s="288">
        <f t="shared" ca="1" si="1506"/>
        <v>84.566713968437767</v>
      </c>
      <c r="R1537" s="288">
        <f t="shared" ca="1" si="1506"/>
        <v>86.072847950759524</v>
      </c>
      <c r="S1537" s="288">
        <f t="shared" ca="1" si="1506"/>
        <v>90.295610657814493</v>
      </c>
      <c r="T1537" s="288">
        <f t="shared" ca="1" si="1506"/>
        <v>92.58947963761122</v>
      </c>
      <c r="U1537" s="288">
        <f t="shared" ca="1" si="1506"/>
        <v>101.18160488116733</v>
      </c>
      <c r="V1537" s="288">
        <f t="shared" ca="1" si="1506"/>
        <v>102.58649936029828</v>
      </c>
    </row>
    <row r="1538" spans="2:22" ht="13.5" customHeight="1" outlineLevel="1">
      <c r="B1538" s="38" t="s">
        <v>314</v>
      </c>
      <c r="C1538" s="307"/>
      <c r="D1538" s="307"/>
      <c r="E1538" s="307"/>
      <c r="F1538" s="459"/>
      <c r="G1538" s="459"/>
      <c r="H1538" s="459"/>
      <c r="K1538" s="459"/>
      <c r="L1538" s="471"/>
      <c r="M1538" s="472">
        <f t="shared" ref="M1538:V1538" si="1507">$P$44</f>
        <v>14</v>
      </c>
      <c r="N1538" s="472">
        <f t="shared" si="1507"/>
        <v>14</v>
      </c>
      <c r="O1538" s="472">
        <f t="shared" si="1507"/>
        <v>14</v>
      </c>
      <c r="P1538" s="472">
        <f t="shared" si="1507"/>
        <v>14</v>
      </c>
      <c r="Q1538" s="472">
        <f t="shared" si="1507"/>
        <v>14</v>
      </c>
      <c r="R1538" s="472">
        <f t="shared" si="1507"/>
        <v>14</v>
      </c>
      <c r="S1538" s="472">
        <f t="shared" si="1507"/>
        <v>14</v>
      </c>
      <c r="T1538" s="472">
        <f t="shared" si="1507"/>
        <v>14</v>
      </c>
      <c r="U1538" s="472">
        <f t="shared" si="1507"/>
        <v>14</v>
      </c>
      <c r="V1538" s="472">
        <f t="shared" si="1507"/>
        <v>14</v>
      </c>
    </row>
    <row r="1539" spans="2:22" s="80" customFormat="1" ht="13.5" customHeight="1" outlineLevel="1">
      <c r="B1539" s="221" t="s">
        <v>321</v>
      </c>
      <c r="C1539" s="476"/>
      <c r="D1539" s="476"/>
      <c r="E1539" s="476"/>
      <c r="F1539" s="477"/>
      <c r="G1539" s="477"/>
      <c r="H1539" s="477"/>
      <c r="I1539" s="221"/>
      <c r="J1539" s="221"/>
      <c r="K1539" s="221"/>
      <c r="L1539" s="478"/>
      <c r="M1539" s="479">
        <f ca="1">M1538*M1537</f>
        <v>806.74469092999959</v>
      </c>
      <c r="N1539" s="479">
        <f t="shared" ref="N1539:V1539" ca="1" si="1508">N1538*N1537</f>
        <v>1104.0813965643611</v>
      </c>
      <c r="O1539" s="479">
        <f t="shared" ca="1" si="1508"/>
        <v>1143.7650569348532</v>
      </c>
      <c r="P1539" s="479">
        <f t="shared" ca="1" si="1508"/>
        <v>1155.712446143654</v>
      </c>
      <c r="Q1539" s="479">
        <f t="shared" ca="1" si="1508"/>
        <v>1183.9339955581288</v>
      </c>
      <c r="R1539" s="479">
        <f t="shared" ca="1" si="1508"/>
        <v>1205.0198713106333</v>
      </c>
      <c r="S1539" s="479">
        <f t="shared" ca="1" si="1508"/>
        <v>1264.138549209403</v>
      </c>
      <c r="T1539" s="479">
        <f t="shared" ca="1" si="1508"/>
        <v>1296.252714926557</v>
      </c>
      <c r="U1539" s="479">
        <f t="shared" ca="1" si="1508"/>
        <v>1416.5424683363426</v>
      </c>
      <c r="V1539" s="479">
        <f t="shared" ca="1" si="1508"/>
        <v>1436.2109910441759</v>
      </c>
    </row>
    <row r="1540" spans="2:22" ht="13.5" customHeight="1" outlineLevel="1">
      <c r="C1540" s="307"/>
      <c r="D1540" s="307"/>
      <c r="E1540" s="307"/>
      <c r="F1540" s="459"/>
      <c r="G1540" s="459"/>
      <c r="H1540" s="459"/>
      <c r="I1540" s="471"/>
      <c r="J1540" s="471"/>
      <c r="K1540" s="459"/>
      <c r="L1540" s="471"/>
      <c r="M1540" s="144"/>
      <c r="N1540" s="144"/>
      <c r="O1540" s="144"/>
      <c r="P1540" s="144"/>
      <c r="Q1540" s="144"/>
      <c r="R1540" s="144"/>
      <c r="S1540" s="144"/>
      <c r="T1540" s="144"/>
      <c r="U1540" s="144"/>
      <c r="V1540" s="144"/>
    </row>
    <row r="1541" spans="2:22" s="80" customFormat="1" ht="13.5" customHeight="1" outlineLevel="1">
      <c r="B1541" s="80" t="s">
        <v>312</v>
      </c>
      <c r="C1541" s="307"/>
      <c r="D1541" s="307"/>
      <c r="E1541" s="307"/>
      <c r="F1541" s="459"/>
      <c r="G1541" s="459"/>
      <c r="H1541" s="459"/>
      <c r="I1541" s="471"/>
      <c r="J1541" s="471"/>
      <c r="K1541" s="459"/>
      <c r="L1541" s="471"/>
      <c r="M1541" s="248">
        <f t="shared" ref="M1541:V1541" ca="1" si="1509">CHOOSE($P$41,M1529,M1534,M1539)</f>
        <v>588.8588947183689</v>
      </c>
      <c r="N1541" s="248">
        <f t="shared" ca="1" si="1509"/>
        <v>827.58153730340564</v>
      </c>
      <c r="O1541" s="248">
        <f t="shared" ca="1" si="1509"/>
        <v>944.63544303217486</v>
      </c>
      <c r="P1541" s="248">
        <f t="shared" ca="1" si="1509"/>
        <v>1048.2848441702945</v>
      </c>
      <c r="Q1541" s="248">
        <f t="shared" ca="1" si="1509"/>
        <v>1154.0508855736007</v>
      </c>
      <c r="R1541" s="248">
        <f t="shared" ca="1" si="1509"/>
        <v>1255.6783210350095</v>
      </c>
      <c r="S1541" s="248">
        <f t="shared" ca="1" si="1509"/>
        <v>1359.7156573758502</v>
      </c>
      <c r="T1541" s="248">
        <f t="shared" ca="1" si="1509"/>
        <v>1464.5432591546873</v>
      </c>
      <c r="U1541" s="248">
        <f t="shared" ca="1" si="1509"/>
        <v>1577.5317354683975</v>
      </c>
      <c r="V1541" s="248">
        <f t="shared" ca="1" si="1509"/>
        <v>1692.0305023505407</v>
      </c>
    </row>
    <row r="1542" spans="2:22" ht="13.5" customHeight="1" outlineLevel="1">
      <c r="C1542" s="307"/>
      <c r="D1542" s="307"/>
      <c r="E1542" s="307"/>
      <c r="F1542" s="459"/>
      <c r="G1542" s="459"/>
      <c r="H1542" s="459"/>
      <c r="I1542" s="471"/>
      <c r="J1542" s="471"/>
      <c r="K1542" s="459"/>
      <c r="L1542" s="471"/>
      <c r="M1542" s="144"/>
      <c r="N1542" s="144"/>
      <c r="O1542" s="144"/>
      <c r="P1542" s="144"/>
      <c r="Q1542" s="144"/>
      <c r="R1542" s="144"/>
      <c r="S1542" s="144"/>
      <c r="T1542" s="144"/>
      <c r="U1542" s="144"/>
      <c r="V1542" s="144"/>
    </row>
    <row r="1543" spans="2:22" s="35" customFormat="1" ht="13.5" customHeight="1" outlineLevel="1">
      <c r="B1543" s="46" t="s">
        <v>660</v>
      </c>
      <c r="C1543" s="47"/>
      <c r="D1543" s="47"/>
      <c r="E1543" s="47"/>
      <c r="F1543" s="47"/>
      <c r="G1543" s="47"/>
      <c r="H1543" s="47"/>
      <c r="I1543" s="47"/>
      <c r="J1543" s="47"/>
      <c r="K1543" s="47"/>
      <c r="L1543" s="47"/>
      <c r="M1543" s="47"/>
      <c r="N1543" s="47"/>
      <c r="O1543" s="47"/>
      <c r="P1543" s="47"/>
      <c r="Q1543" s="47"/>
      <c r="R1543" s="47"/>
      <c r="S1543" s="47"/>
      <c r="T1543" s="47"/>
      <c r="U1543" s="47"/>
      <c r="V1543" s="48"/>
    </row>
    <row r="1544" spans="2:22" ht="5.0999999999999996" customHeight="1" outlineLevel="1">
      <c r="B1544" s="143"/>
      <c r="F1544" s="398"/>
      <c r="G1544" s="398"/>
      <c r="H1544" s="398"/>
    </row>
    <row r="1545" spans="2:22" ht="13.5" customHeight="1" outlineLevel="1">
      <c r="B1545" s="38" t="str">
        <f t="shared" ref="B1545:B1554" si="1510">B1254</f>
        <v>Term loan - A</v>
      </c>
      <c r="C1545" s="307"/>
      <c r="D1545" s="307"/>
      <c r="E1545" s="307"/>
      <c r="F1545" s="459"/>
      <c r="G1545" s="459"/>
      <c r="H1545" s="459"/>
      <c r="I1545" s="471"/>
      <c r="J1545" s="471"/>
      <c r="K1545" s="459"/>
      <c r="L1545" s="471"/>
      <c r="M1545" s="532">
        <v>0</v>
      </c>
      <c r="N1545" s="532">
        <v>0</v>
      </c>
      <c r="O1545" s="532">
        <v>0</v>
      </c>
      <c r="P1545" s="532">
        <v>0</v>
      </c>
      <c r="Q1545" s="532">
        <v>0</v>
      </c>
      <c r="R1545" s="532">
        <v>0</v>
      </c>
      <c r="S1545" s="532">
        <v>0</v>
      </c>
      <c r="T1545" s="532">
        <v>0</v>
      </c>
      <c r="U1545" s="532">
        <v>0</v>
      </c>
      <c r="V1545" s="532">
        <v>0</v>
      </c>
    </row>
    <row r="1546" spans="2:22" ht="13.5" customHeight="1" outlineLevel="1">
      <c r="B1546" s="38" t="str">
        <f t="shared" si="1510"/>
        <v>Term loan - B</v>
      </c>
      <c r="C1546" s="307"/>
      <c r="D1546" s="307"/>
      <c r="E1546" s="307"/>
      <c r="F1546" s="459"/>
      <c r="G1546" s="459"/>
      <c r="H1546" s="459"/>
      <c r="I1546" s="471"/>
      <c r="J1546" s="471"/>
      <c r="K1546" s="459"/>
      <c r="L1546" s="471"/>
      <c r="M1546" s="532">
        <v>0</v>
      </c>
      <c r="N1546" s="532">
        <v>0</v>
      </c>
      <c r="O1546" s="532">
        <v>0</v>
      </c>
      <c r="P1546" s="532">
        <v>0</v>
      </c>
      <c r="Q1546" s="532">
        <v>0</v>
      </c>
      <c r="R1546" s="532">
        <v>0</v>
      </c>
      <c r="S1546" s="532">
        <v>0</v>
      </c>
      <c r="T1546" s="532">
        <v>0</v>
      </c>
      <c r="U1546" s="532">
        <v>0</v>
      </c>
      <c r="V1546" s="532">
        <v>0</v>
      </c>
    </row>
    <row r="1547" spans="2:22" ht="13.5" customHeight="1" outlineLevel="1">
      <c r="B1547" s="38" t="str">
        <f t="shared" si="1510"/>
        <v>Senior note</v>
      </c>
      <c r="C1547" s="307"/>
      <c r="D1547" s="307"/>
      <c r="E1547" s="307"/>
      <c r="F1547" s="459"/>
      <c r="G1547" s="459"/>
      <c r="H1547" s="459"/>
      <c r="I1547" s="471"/>
      <c r="J1547" s="471"/>
      <c r="K1547" s="459"/>
      <c r="L1547" s="471"/>
      <c r="M1547" s="532">
        <v>0</v>
      </c>
      <c r="N1547" s="532">
        <v>0</v>
      </c>
      <c r="O1547" s="532">
        <v>0</v>
      </c>
      <c r="P1547" s="532">
        <v>0</v>
      </c>
      <c r="Q1547" s="532">
        <v>0</v>
      </c>
      <c r="R1547" s="532">
        <v>0</v>
      </c>
      <c r="S1547" s="532">
        <v>0</v>
      </c>
      <c r="T1547" s="532">
        <v>0</v>
      </c>
      <c r="U1547" s="532">
        <v>0</v>
      </c>
      <c r="V1547" s="532">
        <v>0</v>
      </c>
    </row>
    <row r="1548" spans="2:22" ht="13.5" customHeight="1" outlineLevel="1">
      <c r="B1548" s="38" t="str">
        <f t="shared" si="1510"/>
        <v>Subordinated note</v>
      </c>
      <c r="C1548" s="307"/>
      <c r="D1548" s="307"/>
      <c r="E1548" s="307"/>
      <c r="F1548" s="459"/>
      <c r="G1548" s="459"/>
      <c r="H1548" s="459"/>
      <c r="I1548" s="471"/>
      <c r="J1548" s="471"/>
      <c r="K1548" s="459"/>
      <c r="L1548" s="471"/>
      <c r="M1548" s="532">
        <v>0.05</v>
      </c>
      <c r="N1548" s="532">
        <v>0.03</v>
      </c>
      <c r="O1548" s="532">
        <v>0.02</v>
      </c>
      <c r="P1548" s="532">
        <v>0.01</v>
      </c>
      <c r="Q1548" s="532">
        <v>0</v>
      </c>
      <c r="R1548" s="532">
        <v>0</v>
      </c>
      <c r="S1548" s="532">
        <v>0</v>
      </c>
      <c r="T1548" s="532">
        <v>0</v>
      </c>
      <c r="U1548" s="532">
        <v>0</v>
      </c>
      <c r="V1548" s="532">
        <v>0</v>
      </c>
    </row>
    <row r="1549" spans="2:22" ht="13.5" customHeight="1" outlineLevel="1">
      <c r="B1549" s="38" t="str">
        <f t="shared" si="1510"/>
        <v>Mezzanine</v>
      </c>
      <c r="C1549" s="307"/>
      <c r="D1549" s="307"/>
      <c r="E1549" s="307"/>
      <c r="F1549" s="459"/>
      <c r="G1549" s="459"/>
      <c r="H1549" s="459"/>
      <c r="I1549" s="471"/>
      <c r="J1549" s="471"/>
      <c r="K1549" s="459"/>
      <c r="L1549" s="471"/>
      <c r="M1549" s="532">
        <v>0.02</v>
      </c>
      <c r="N1549" s="532">
        <v>0.02</v>
      </c>
      <c r="O1549" s="532">
        <v>0.02</v>
      </c>
      <c r="P1549" s="532">
        <v>0.02</v>
      </c>
      <c r="Q1549" s="532">
        <v>0.02</v>
      </c>
      <c r="R1549" s="532">
        <v>0</v>
      </c>
      <c r="S1549" s="532">
        <v>0</v>
      </c>
      <c r="T1549" s="532">
        <v>0</v>
      </c>
      <c r="U1549" s="532">
        <v>0</v>
      </c>
      <c r="V1549" s="532">
        <v>0</v>
      </c>
    </row>
    <row r="1550" spans="2:22" ht="13.5" customHeight="1" outlineLevel="1">
      <c r="B1550" s="38" t="str">
        <f t="shared" si="1510"/>
        <v>Seller note</v>
      </c>
      <c r="C1550" s="307"/>
      <c r="D1550" s="307"/>
      <c r="E1550" s="307"/>
      <c r="F1550" s="459"/>
      <c r="G1550" s="459"/>
      <c r="H1550" s="459"/>
      <c r="I1550" s="471"/>
      <c r="J1550" s="471"/>
      <c r="K1550" s="459"/>
      <c r="L1550" s="471"/>
      <c r="M1550" s="532">
        <v>0</v>
      </c>
      <c r="N1550" s="532">
        <v>0</v>
      </c>
      <c r="O1550" s="532">
        <v>0</v>
      </c>
      <c r="P1550" s="532">
        <v>0</v>
      </c>
      <c r="Q1550" s="532">
        <v>0</v>
      </c>
      <c r="R1550" s="532">
        <v>0</v>
      </c>
      <c r="S1550" s="532">
        <v>0</v>
      </c>
      <c r="T1550" s="532">
        <v>0</v>
      </c>
      <c r="U1550" s="532">
        <v>0</v>
      </c>
      <c r="V1550" s="532">
        <v>0</v>
      </c>
    </row>
    <row r="1551" spans="2:22" ht="13.5" customHeight="1" outlineLevel="1">
      <c r="B1551" s="38" t="str">
        <f t="shared" si="1510"/>
        <v>Convertible bond</v>
      </c>
      <c r="C1551" s="307"/>
      <c r="D1551" s="307"/>
      <c r="E1551" s="307"/>
      <c r="F1551" s="459"/>
      <c r="G1551" s="459"/>
      <c r="H1551" s="459"/>
      <c r="I1551" s="471"/>
      <c r="J1551" s="471"/>
      <c r="K1551" s="459"/>
      <c r="L1551" s="471"/>
      <c r="M1551" s="532">
        <v>0</v>
      </c>
      <c r="N1551" s="532">
        <v>0</v>
      </c>
      <c r="O1551" s="532">
        <v>0</v>
      </c>
      <c r="P1551" s="532">
        <v>0</v>
      </c>
      <c r="Q1551" s="532">
        <v>0</v>
      </c>
      <c r="R1551" s="532">
        <v>0</v>
      </c>
      <c r="S1551" s="532">
        <v>0</v>
      </c>
      <c r="T1551" s="532">
        <v>0</v>
      </c>
      <c r="U1551" s="532">
        <v>0</v>
      </c>
      <c r="V1551" s="532">
        <v>0</v>
      </c>
    </row>
    <row r="1552" spans="2:22" ht="13.5" customHeight="1" outlineLevel="1">
      <c r="B1552" s="38" t="str">
        <f t="shared" si="1510"/>
        <v>[Debt 8]</v>
      </c>
      <c r="C1552" s="307"/>
      <c r="D1552" s="307"/>
      <c r="E1552" s="307"/>
      <c r="F1552" s="459"/>
      <c r="G1552" s="459"/>
      <c r="H1552" s="459"/>
      <c r="I1552" s="471"/>
      <c r="J1552" s="471"/>
      <c r="K1552" s="459"/>
      <c r="L1552" s="471"/>
      <c r="M1552" s="532">
        <v>0</v>
      </c>
      <c r="N1552" s="532">
        <v>0</v>
      </c>
      <c r="O1552" s="532">
        <v>0</v>
      </c>
      <c r="P1552" s="532">
        <v>0</v>
      </c>
      <c r="Q1552" s="532">
        <v>0</v>
      </c>
      <c r="R1552" s="532">
        <v>0</v>
      </c>
      <c r="S1552" s="532">
        <v>0</v>
      </c>
      <c r="T1552" s="532">
        <v>0</v>
      </c>
      <c r="U1552" s="532">
        <v>0</v>
      </c>
      <c r="V1552" s="532">
        <v>0</v>
      </c>
    </row>
    <row r="1553" spans="2:22" ht="13.5" customHeight="1" outlineLevel="1">
      <c r="B1553" s="38" t="str">
        <f t="shared" si="1510"/>
        <v>Preferred stock - A</v>
      </c>
      <c r="C1553" s="307"/>
      <c r="D1553" s="307"/>
      <c r="E1553" s="307"/>
      <c r="F1553" s="459"/>
      <c r="G1553" s="459"/>
      <c r="H1553" s="459"/>
      <c r="I1553" s="471"/>
      <c r="J1553" s="471"/>
      <c r="K1553" s="459"/>
      <c r="L1553" s="471"/>
      <c r="M1553" s="532">
        <v>0</v>
      </c>
      <c r="N1553" s="532">
        <v>0</v>
      </c>
      <c r="O1553" s="532">
        <v>0</v>
      </c>
      <c r="P1553" s="532">
        <v>0</v>
      </c>
      <c r="Q1553" s="532">
        <v>0</v>
      </c>
      <c r="R1553" s="532">
        <v>0</v>
      </c>
      <c r="S1553" s="532">
        <v>0</v>
      </c>
      <c r="T1553" s="532">
        <v>0</v>
      </c>
      <c r="U1553" s="532">
        <v>0</v>
      </c>
      <c r="V1553" s="532">
        <v>0</v>
      </c>
    </row>
    <row r="1554" spans="2:22" ht="13.5" customHeight="1" outlineLevel="1">
      <c r="B1554" s="38" t="str">
        <f t="shared" si="1510"/>
        <v>Preferred stock - B</v>
      </c>
      <c r="C1554" s="307"/>
      <c r="D1554" s="307"/>
      <c r="E1554" s="307"/>
      <c r="F1554" s="459"/>
      <c r="G1554" s="459"/>
      <c r="H1554" s="459"/>
      <c r="I1554" s="471"/>
      <c r="J1554" s="471"/>
      <c r="K1554" s="459"/>
      <c r="L1554" s="471"/>
      <c r="M1554" s="532">
        <v>0</v>
      </c>
      <c r="N1554" s="532">
        <v>0</v>
      </c>
      <c r="O1554" s="532">
        <v>0</v>
      </c>
      <c r="P1554" s="532">
        <v>0</v>
      </c>
      <c r="Q1554" s="532">
        <v>0</v>
      </c>
      <c r="R1554" s="532">
        <v>0</v>
      </c>
      <c r="S1554" s="532">
        <v>0</v>
      </c>
      <c r="T1554" s="532">
        <v>0</v>
      </c>
      <c r="U1554" s="532">
        <v>0</v>
      </c>
      <c r="V1554" s="532">
        <v>0</v>
      </c>
    </row>
    <row r="1555" spans="2:22" ht="13.5" customHeight="1" outlineLevel="1">
      <c r="C1555" s="307"/>
      <c r="D1555" s="307"/>
      <c r="E1555" s="307"/>
      <c r="F1555" s="459"/>
      <c r="G1555" s="459"/>
      <c r="H1555" s="459"/>
      <c r="I1555" s="471"/>
      <c r="J1555" s="471"/>
      <c r="K1555" s="459"/>
      <c r="L1555" s="471"/>
      <c r="M1555" s="324"/>
      <c r="N1555" s="324"/>
      <c r="O1555" s="324"/>
      <c r="P1555" s="324"/>
      <c r="Q1555" s="324"/>
      <c r="R1555" s="324"/>
      <c r="S1555" s="324"/>
      <c r="T1555" s="324"/>
      <c r="U1555" s="324"/>
      <c r="V1555" s="324"/>
    </row>
    <row r="1556" spans="2:22" s="35" customFormat="1" ht="13.5" customHeight="1" outlineLevel="1">
      <c r="B1556" s="46" t="s">
        <v>67</v>
      </c>
      <c r="C1556" s="47"/>
      <c r="D1556" s="47"/>
      <c r="E1556" s="47"/>
      <c r="F1556" s="47"/>
      <c r="G1556" s="47"/>
      <c r="H1556" s="47"/>
      <c r="I1556" s="47"/>
      <c r="J1556" s="47"/>
      <c r="K1556" s="47"/>
      <c r="L1556" s="47"/>
      <c r="M1556" s="47"/>
      <c r="N1556" s="47"/>
      <c r="O1556" s="47"/>
      <c r="P1556" s="47"/>
      <c r="Q1556" s="47"/>
      <c r="R1556" s="47"/>
      <c r="S1556" s="47"/>
      <c r="T1556" s="47"/>
      <c r="U1556" s="47"/>
      <c r="V1556" s="48"/>
    </row>
    <row r="1557" spans="2:22" ht="5.0999999999999996" customHeight="1" outlineLevel="1">
      <c r="B1557" s="143"/>
      <c r="F1557" s="398"/>
      <c r="G1557" s="398"/>
      <c r="H1557" s="398"/>
    </row>
    <row r="1558" spans="2:22" ht="13.5" customHeight="1" outlineLevel="1">
      <c r="B1558" s="273" t="str">
        <f>B1257</f>
        <v>Subordinated note</v>
      </c>
      <c r="C1558" s="274"/>
      <c r="D1558" s="274"/>
      <c r="E1558" s="274"/>
      <c r="F1558" s="274"/>
      <c r="G1558" s="274"/>
      <c r="H1558" s="274"/>
      <c r="I1558" s="274"/>
      <c r="J1558" s="274"/>
      <c r="K1558" s="274"/>
      <c r="L1558" s="274"/>
      <c r="M1558" s="480"/>
      <c r="N1558" s="480"/>
      <c r="O1558" s="480"/>
      <c r="P1558" s="480"/>
      <c r="Q1558" s="480"/>
      <c r="R1558" s="480"/>
      <c r="S1558" s="480"/>
      <c r="T1558" s="480"/>
      <c r="U1558" s="480"/>
      <c r="V1558" s="480"/>
    </row>
    <row r="1559" spans="2:22" ht="13.5" customHeight="1" outlineLevel="1">
      <c r="B1559" s="223" t="s">
        <v>324</v>
      </c>
      <c r="C1559" s="223"/>
      <c r="D1559" s="223"/>
      <c r="E1559" s="223"/>
      <c r="F1559" s="223"/>
      <c r="G1559" s="223"/>
      <c r="H1559" s="223"/>
      <c r="I1559" s="223"/>
      <c r="J1559" s="223"/>
      <c r="K1559" s="223"/>
      <c r="L1559" s="285">
        <f>-M1257</f>
        <v>-50</v>
      </c>
      <c r="M1559" s="223"/>
      <c r="N1559" s="481"/>
      <c r="O1559" s="481"/>
      <c r="P1559" s="481"/>
      <c r="Q1559" s="481"/>
      <c r="R1559" s="481"/>
      <c r="S1559" s="481"/>
      <c r="T1559" s="481"/>
      <c r="U1559" s="481"/>
      <c r="V1559" s="481"/>
    </row>
    <row r="1560" spans="2:22" ht="13.5" customHeight="1" outlineLevel="1">
      <c r="B1560" s="223" t="s">
        <v>325</v>
      </c>
      <c r="C1560" s="223"/>
      <c r="D1560" s="223"/>
      <c r="E1560" s="223"/>
      <c r="F1560" s="223"/>
      <c r="G1560" s="223"/>
      <c r="H1560" s="223"/>
      <c r="I1560" s="482"/>
      <c r="J1560" s="223"/>
      <c r="K1560" s="223"/>
      <c r="L1560" s="223"/>
      <c r="M1560" s="285">
        <f t="shared" ref="M1560:V1560" si="1511">(M650-M629)*(M$1517&lt;=exit_year)</f>
        <v>0</v>
      </c>
      <c r="N1560" s="285">
        <f t="shared" ca="1" si="1511"/>
        <v>5.125</v>
      </c>
      <c r="O1560" s="285">
        <f t="shared" ca="1" si="1511"/>
        <v>5.125</v>
      </c>
      <c r="P1560" s="285">
        <f t="shared" ca="1" si="1511"/>
        <v>5.125</v>
      </c>
      <c r="Q1560" s="285">
        <f t="shared" ca="1" si="1511"/>
        <v>0</v>
      </c>
      <c r="R1560" s="285">
        <f t="shared" ca="1" si="1511"/>
        <v>0</v>
      </c>
      <c r="S1560" s="285">
        <f t="shared" ca="1" si="1511"/>
        <v>0</v>
      </c>
      <c r="T1560" s="285">
        <f t="shared" ca="1" si="1511"/>
        <v>0</v>
      </c>
      <c r="U1560" s="285">
        <f t="shared" ca="1" si="1511"/>
        <v>0</v>
      </c>
      <c r="V1560" s="285">
        <f t="shared" ca="1" si="1511"/>
        <v>0</v>
      </c>
    </row>
    <row r="1561" spans="2:22" ht="13.5" customHeight="1" outlineLevel="1">
      <c r="B1561" s="223" t="s">
        <v>662</v>
      </c>
      <c r="C1561" s="223"/>
      <c r="D1561" s="223"/>
      <c r="E1561" s="223"/>
      <c r="F1561" s="223"/>
      <c r="G1561" s="223"/>
      <c r="H1561" s="223"/>
      <c r="I1561" s="482"/>
      <c r="J1561" s="223"/>
      <c r="K1561" s="223"/>
      <c r="L1561" s="223"/>
      <c r="M1561" s="218">
        <f t="shared" ref="M1561:V1561" ca="1" si="1512">-SUM(M630:M631)*(M$1517&lt;=exit_year)</f>
        <v>0</v>
      </c>
      <c r="N1561" s="218">
        <f t="shared" ca="1" si="1512"/>
        <v>0</v>
      </c>
      <c r="O1561" s="218">
        <f t="shared" ca="1" si="1512"/>
        <v>0</v>
      </c>
      <c r="P1561" s="218">
        <f t="shared" ca="1" si="1512"/>
        <v>0</v>
      </c>
      <c r="Q1561" s="218">
        <f t="shared" ca="1" si="1512"/>
        <v>0</v>
      </c>
      <c r="R1561" s="218">
        <f t="shared" ca="1" si="1512"/>
        <v>0</v>
      </c>
      <c r="S1561" s="218">
        <f t="shared" ca="1" si="1512"/>
        <v>0</v>
      </c>
      <c r="T1561" s="218">
        <f t="shared" ca="1" si="1512"/>
        <v>0</v>
      </c>
      <c r="U1561" s="218">
        <f t="shared" ca="1" si="1512"/>
        <v>0</v>
      </c>
      <c r="V1561" s="218">
        <f t="shared" ca="1" si="1512"/>
        <v>0</v>
      </c>
    </row>
    <row r="1562" spans="2:22" ht="13.5" customHeight="1" outlineLevel="1">
      <c r="B1562" s="223" t="s">
        <v>653</v>
      </c>
      <c r="C1562" s="223"/>
      <c r="D1562" s="223"/>
      <c r="E1562" s="223"/>
      <c r="F1562" s="223"/>
      <c r="G1562" s="223"/>
      <c r="H1562" s="223"/>
      <c r="I1562" s="482"/>
      <c r="J1562" s="223"/>
      <c r="K1562" s="223"/>
      <c r="L1562" s="223"/>
      <c r="M1562" s="218">
        <f t="shared" ref="M1562:V1562" ca="1" si="1513">M632*M$1520</f>
        <v>0</v>
      </c>
      <c r="N1562" s="218">
        <f t="shared" ca="1" si="1513"/>
        <v>0</v>
      </c>
      <c r="O1562" s="218">
        <f t="shared" ca="1" si="1513"/>
        <v>0</v>
      </c>
      <c r="P1562" s="218">
        <f t="shared" ca="1" si="1513"/>
        <v>50</v>
      </c>
      <c r="Q1562" s="218">
        <f t="shared" ca="1" si="1513"/>
        <v>0</v>
      </c>
      <c r="R1562" s="218">
        <f t="shared" ca="1" si="1513"/>
        <v>0</v>
      </c>
      <c r="S1562" s="218">
        <f t="shared" ca="1" si="1513"/>
        <v>0</v>
      </c>
      <c r="T1562" s="218">
        <f t="shared" ca="1" si="1513"/>
        <v>0</v>
      </c>
      <c r="U1562" s="218">
        <f t="shared" ca="1" si="1513"/>
        <v>0</v>
      </c>
      <c r="V1562" s="218">
        <f t="shared" ca="1" si="1513"/>
        <v>0</v>
      </c>
    </row>
    <row r="1563" spans="2:22" ht="13.5" customHeight="1" outlineLevel="1">
      <c r="B1563" s="223" t="s">
        <v>661</v>
      </c>
      <c r="C1563" s="223"/>
      <c r="D1563" s="223"/>
      <c r="E1563" s="223"/>
      <c r="F1563" s="223"/>
      <c r="G1563" s="223"/>
      <c r="H1563" s="223"/>
      <c r="I1563" s="482"/>
      <c r="J1563" s="223"/>
      <c r="K1563" s="223"/>
      <c r="L1563" s="223"/>
      <c r="M1563" s="218">
        <f ca="1">M1562*M1548*M$1520</f>
        <v>0</v>
      </c>
      <c r="N1563" s="218">
        <f t="shared" ref="N1563:V1563" ca="1" si="1514">N1562*N1548*N$1520</f>
        <v>0</v>
      </c>
      <c r="O1563" s="218">
        <f t="shared" ca="1" si="1514"/>
        <v>0</v>
      </c>
      <c r="P1563" s="218">
        <f t="shared" ca="1" si="1514"/>
        <v>0.5</v>
      </c>
      <c r="Q1563" s="218">
        <f t="shared" ca="1" si="1514"/>
        <v>0</v>
      </c>
      <c r="R1563" s="218">
        <f t="shared" ca="1" si="1514"/>
        <v>0</v>
      </c>
      <c r="S1563" s="218">
        <f t="shared" ca="1" si="1514"/>
        <v>0</v>
      </c>
      <c r="T1563" s="218">
        <f t="shared" ca="1" si="1514"/>
        <v>0</v>
      </c>
      <c r="U1563" s="218">
        <f t="shared" ca="1" si="1514"/>
        <v>0</v>
      </c>
      <c r="V1563" s="218">
        <f t="shared" ca="1" si="1514"/>
        <v>0</v>
      </c>
    </row>
    <row r="1564" spans="2:22" ht="13.5" customHeight="1" outlineLevel="1">
      <c r="B1564" s="223" t="s">
        <v>326</v>
      </c>
      <c r="C1564" s="223"/>
      <c r="D1564" s="223"/>
      <c r="E1564" s="223"/>
      <c r="F1564" s="223"/>
      <c r="G1564" s="223"/>
      <c r="H1564" s="223"/>
      <c r="I1564" s="223"/>
      <c r="J1564" s="223"/>
      <c r="K1564" s="223"/>
      <c r="L1564" s="223"/>
      <c r="M1564" s="218">
        <f t="shared" ref="M1564:V1564" ca="1" si="1515">M$1541*$H1506*M$1520</f>
        <v>0</v>
      </c>
      <c r="N1564" s="218">
        <f t="shared" ca="1" si="1515"/>
        <v>0</v>
      </c>
      <c r="O1564" s="218">
        <f t="shared" ca="1" si="1515"/>
        <v>0</v>
      </c>
      <c r="P1564" s="218">
        <f t="shared" ca="1" si="1515"/>
        <v>20.86086839898886</v>
      </c>
      <c r="Q1564" s="218">
        <f t="shared" ca="1" si="1515"/>
        <v>0</v>
      </c>
      <c r="R1564" s="218">
        <f t="shared" ca="1" si="1515"/>
        <v>0</v>
      </c>
      <c r="S1564" s="218">
        <f t="shared" ca="1" si="1515"/>
        <v>0</v>
      </c>
      <c r="T1564" s="218">
        <f t="shared" ca="1" si="1515"/>
        <v>0</v>
      </c>
      <c r="U1564" s="218">
        <f t="shared" ca="1" si="1515"/>
        <v>0</v>
      </c>
      <c r="V1564" s="218">
        <f t="shared" ca="1" si="1515"/>
        <v>0</v>
      </c>
    </row>
    <row r="1565" spans="2:22" ht="13.5" customHeight="1" outlineLevel="1">
      <c r="B1565" s="279" t="s">
        <v>327</v>
      </c>
      <c r="C1565" s="483"/>
      <c r="D1565" s="483"/>
      <c r="E1565" s="483"/>
      <c r="F1565" s="484"/>
      <c r="G1565" s="484"/>
      <c r="H1565" s="484"/>
      <c r="I1565" s="279"/>
      <c r="J1565" s="279"/>
      <c r="K1565" s="279"/>
      <c r="L1565" s="281">
        <f>SUM(L1559:L1564)</f>
        <v>-50</v>
      </c>
      <c r="M1565" s="281">
        <f ca="1">SUM(M1559:M1564)</f>
        <v>0</v>
      </c>
      <c r="N1565" s="281">
        <f t="shared" ref="N1565:V1565" ca="1" si="1516">SUM(N1559:N1564)</f>
        <v>5.125</v>
      </c>
      <c r="O1565" s="281">
        <f t="shared" ca="1" si="1516"/>
        <v>5.125</v>
      </c>
      <c r="P1565" s="281">
        <f t="shared" ca="1" si="1516"/>
        <v>76.485868398988856</v>
      </c>
      <c r="Q1565" s="281">
        <f t="shared" ca="1" si="1516"/>
        <v>0</v>
      </c>
      <c r="R1565" s="281">
        <f t="shared" ca="1" si="1516"/>
        <v>0</v>
      </c>
      <c r="S1565" s="281">
        <f t="shared" ca="1" si="1516"/>
        <v>0</v>
      </c>
      <c r="T1565" s="281">
        <f t="shared" ca="1" si="1516"/>
        <v>0</v>
      </c>
      <c r="U1565" s="281">
        <f t="shared" ca="1" si="1516"/>
        <v>0</v>
      </c>
      <c r="V1565" s="281">
        <f t="shared" ca="1" si="1516"/>
        <v>0</v>
      </c>
    </row>
    <row r="1566" spans="2:22" ht="5.0999999999999996" customHeight="1" outlineLevel="1">
      <c r="B1566" s="223"/>
      <c r="C1566" s="485"/>
      <c r="D1566" s="485"/>
      <c r="E1566" s="485"/>
      <c r="F1566" s="486"/>
      <c r="G1566" s="486"/>
      <c r="H1566" s="486"/>
      <c r="I1566" s="223"/>
      <c r="J1566" s="223"/>
      <c r="K1566" s="223"/>
      <c r="L1566" s="214"/>
      <c r="M1566" s="214"/>
      <c r="N1566" s="214"/>
      <c r="O1566" s="214"/>
      <c r="P1566" s="214"/>
      <c r="Q1566" s="214"/>
      <c r="R1566" s="214"/>
      <c r="S1566" s="214"/>
      <c r="T1566" s="214"/>
      <c r="U1566" s="214"/>
      <c r="V1566" s="214"/>
    </row>
    <row r="1567" spans="2:22" ht="13.5" customHeight="1" outlineLevel="1">
      <c r="B1567" s="487" t="s">
        <v>418</v>
      </c>
      <c r="C1567" s="488">
        <f ca="1">IFERROR(XIRR(L1565:V1565,L$1518:V$1518),0)</f>
        <v>0.16778586506843568</v>
      </c>
      <c r="D1567" s="186"/>
      <c r="E1567" s="186"/>
      <c r="F1567" s="186"/>
      <c r="G1567" s="186"/>
      <c r="H1567" s="186"/>
      <c r="I1567" s="186"/>
      <c r="J1567" s="186"/>
      <c r="K1567" s="489"/>
      <c r="L1567" s="489"/>
      <c r="M1567" s="490"/>
      <c r="N1567" s="490"/>
      <c r="O1567" s="490"/>
      <c r="P1567" s="490"/>
      <c r="Q1567" s="490"/>
      <c r="R1567" s="490"/>
      <c r="S1567" s="490"/>
      <c r="T1567" s="490"/>
      <c r="U1567" s="490"/>
      <c r="V1567" s="490"/>
    </row>
    <row r="1568" spans="2:22" ht="13.5" customHeight="1" outlineLevel="1">
      <c r="B1568" s="491" t="s">
        <v>417</v>
      </c>
      <c r="C1568" s="492">
        <f ca="1">IFERROR(-SUM(M1565:V1565)/L1565,"NA")</f>
        <v>1.7347173679797772</v>
      </c>
      <c r="D1568" s="186"/>
      <c r="E1568" s="186"/>
      <c r="F1568" s="186"/>
      <c r="G1568" s="186"/>
      <c r="H1568" s="186"/>
      <c r="I1568" s="186"/>
      <c r="J1568" s="186"/>
      <c r="K1568" s="489"/>
      <c r="L1568" s="489"/>
      <c r="M1568" s="490"/>
      <c r="N1568" s="490"/>
      <c r="O1568" s="490"/>
      <c r="P1568" s="490"/>
      <c r="Q1568" s="490"/>
      <c r="R1568" s="490"/>
      <c r="S1568" s="490"/>
      <c r="T1568" s="490"/>
      <c r="U1568" s="490"/>
      <c r="V1568" s="490"/>
    </row>
    <row r="1569" spans="2:22" ht="5.0999999999999996" customHeight="1" outlineLevel="1" thickBot="1">
      <c r="B1569" s="493"/>
      <c r="C1569" s="152"/>
      <c r="D1569" s="152"/>
      <c r="E1569" s="152"/>
      <c r="F1569" s="494"/>
      <c r="G1569" s="494"/>
      <c r="H1569" s="494"/>
      <c r="I1569" s="152"/>
      <c r="J1569" s="152"/>
      <c r="K1569" s="152"/>
      <c r="L1569" s="152"/>
      <c r="M1569" s="152"/>
      <c r="N1569" s="152"/>
      <c r="O1569" s="152"/>
      <c r="P1569" s="152"/>
      <c r="Q1569" s="152"/>
      <c r="R1569" s="152"/>
      <c r="S1569" s="152"/>
      <c r="T1569" s="152"/>
      <c r="U1569" s="152"/>
      <c r="V1569" s="152"/>
    </row>
    <row r="1570" spans="2:22" ht="13.5" customHeight="1" outlineLevel="1">
      <c r="B1570" s="143"/>
      <c r="F1570" s="398"/>
      <c r="G1570" s="398"/>
      <c r="H1570" s="398"/>
    </row>
    <row r="1571" spans="2:22" ht="13.5" customHeight="1" outlineLevel="1">
      <c r="B1571" s="273" t="str">
        <f>B1258</f>
        <v>Mezzanine</v>
      </c>
      <c r="C1571" s="274"/>
      <c r="D1571" s="274"/>
      <c r="E1571" s="274"/>
      <c r="F1571" s="274"/>
      <c r="G1571" s="274"/>
      <c r="H1571" s="274"/>
      <c r="I1571" s="274"/>
      <c r="J1571" s="274"/>
      <c r="K1571" s="274"/>
      <c r="L1571" s="274"/>
      <c r="M1571" s="480"/>
      <c r="N1571" s="480"/>
      <c r="O1571" s="480"/>
      <c r="P1571" s="480"/>
      <c r="Q1571" s="480"/>
      <c r="R1571" s="480"/>
      <c r="S1571" s="480"/>
      <c r="T1571" s="480"/>
      <c r="U1571" s="480"/>
      <c r="V1571" s="480"/>
    </row>
    <row r="1572" spans="2:22" ht="13.5" customHeight="1" outlineLevel="1">
      <c r="B1572" s="223" t="s">
        <v>324</v>
      </c>
      <c r="C1572" s="223"/>
      <c r="D1572" s="223"/>
      <c r="E1572" s="223"/>
      <c r="F1572" s="223"/>
      <c r="G1572" s="223"/>
      <c r="H1572" s="223"/>
      <c r="I1572" s="223"/>
      <c r="J1572" s="223"/>
      <c r="K1572" s="223"/>
      <c r="L1572" s="285">
        <f>-M1258</f>
        <v>0</v>
      </c>
      <c r="M1572" s="223"/>
      <c r="N1572" s="481"/>
      <c r="O1572" s="481"/>
      <c r="P1572" s="481"/>
      <c r="Q1572" s="481"/>
      <c r="R1572" s="481"/>
      <c r="S1572" s="481"/>
      <c r="T1572" s="481"/>
      <c r="U1572" s="481"/>
      <c r="V1572" s="481"/>
    </row>
    <row r="1573" spans="2:22" ht="13.5" customHeight="1" outlineLevel="1">
      <c r="B1573" s="223" t="s">
        <v>325</v>
      </c>
      <c r="C1573" s="223"/>
      <c r="D1573" s="223"/>
      <c r="E1573" s="223"/>
      <c r="F1573" s="223"/>
      <c r="G1573" s="223"/>
      <c r="H1573" s="223"/>
      <c r="I1573" s="482"/>
      <c r="J1573" s="223"/>
      <c r="K1573" s="223"/>
      <c r="L1573" s="223"/>
      <c r="M1573" s="285">
        <f t="shared" ref="M1573:V1573" si="1517">(M679-M658)*(M$1517&lt;=exit_year)</f>
        <v>0</v>
      </c>
      <c r="N1573" s="285">
        <f t="shared" ca="1" si="1517"/>
        <v>0</v>
      </c>
      <c r="O1573" s="285">
        <f t="shared" ca="1" si="1517"/>
        <v>0</v>
      </c>
      <c r="P1573" s="285">
        <f t="shared" ca="1" si="1517"/>
        <v>0</v>
      </c>
      <c r="Q1573" s="285">
        <f t="shared" ca="1" si="1517"/>
        <v>0</v>
      </c>
      <c r="R1573" s="285">
        <f t="shared" ca="1" si="1517"/>
        <v>0</v>
      </c>
      <c r="S1573" s="285">
        <f t="shared" ca="1" si="1517"/>
        <v>0</v>
      </c>
      <c r="T1573" s="285">
        <f t="shared" ca="1" si="1517"/>
        <v>0</v>
      </c>
      <c r="U1573" s="285">
        <f t="shared" ca="1" si="1517"/>
        <v>0</v>
      </c>
      <c r="V1573" s="285">
        <f t="shared" ca="1" si="1517"/>
        <v>0</v>
      </c>
    </row>
    <row r="1574" spans="2:22" ht="13.5" customHeight="1" outlineLevel="1">
      <c r="B1574" s="223" t="s">
        <v>662</v>
      </c>
      <c r="C1574" s="223"/>
      <c r="D1574" s="223"/>
      <c r="E1574" s="223"/>
      <c r="F1574" s="223"/>
      <c r="G1574" s="223"/>
      <c r="H1574" s="223"/>
      <c r="I1574" s="482"/>
      <c r="J1574" s="223"/>
      <c r="K1574" s="223"/>
      <c r="L1574" s="223"/>
      <c r="M1574" s="218">
        <f t="shared" ref="M1574:V1574" ca="1" si="1518">-SUM(M659:M660)*(M$1517&lt;=exit_year)</f>
        <v>0</v>
      </c>
      <c r="N1574" s="218">
        <f t="shared" ca="1" si="1518"/>
        <v>0</v>
      </c>
      <c r="O1574" s="218">
        <f t="shared" ca="1" si="1518"/>
        <v>0</v>
      </c>
      <c r="P1574" s="218">
        <f t="shared" ca="1" si="1518"/>
        <v>0</v>
      </c>
      <c r="Q1574" s="218">
        <f t="shared" ca="1" si="1518"/>
        <v>0</v>
      </c>
      <c r="R1574" s="218">
        <f t="shared" ca="1" si="1518"/>
        <v>0</v>
      </c>
      <c r="S1574" s="218">
        <f t="shared" ca="1" si="1518"/>
        <v>0</v>
      </c>
      <c r="T1574" s="218">
        <f t="shared" ca="1" si="1518"/>
        <v>0</v>
      </c>
      <c r="U1574" s="218">
        <f t="shared" ca="1" si="1518"/>
        <v>0</v>
      </c>
      <c r="V1574" s="218">
        <f t="shared" ca="1" si="1518"/>
        <v>0</v>
      </c>
    </row>
    <row r="1575" spans="2:22" ht="13.5" customHeight="1" outlineLevel="1">
      <c r="B1575" s="223" t="s">
        <v>653</v>
      </c>
      <c r="C1575" s="223"/>
      <c r="D1575" s="223"/>
      <c r="E1575" s="223"/>
      <c r="F1575" s="223"/>
      <c r="G1575" s="223"/>
      <c r="H1575" s="223"/>
      <c r="I1575" s="482"/>
      <c r="J1575" s="223"/>
      <c r="K1575" s="223"/>
      <c r="L1575" s="223"/>
      <c r="M1575" s="218">
        <f t="shared" ref="M1575:V1575" ca="1" si="1519">M661*M$1520</f>
        <v>0</v>
      </c>
      <c r="N1575" s="218">
        <f t="shared" ca="1" si="1519"/>
        <v>0</v>
      </c>
      <c r="O1575" s="218">
        <f t="shared" ca="1" si="1519"/>
        <v>0</v>
      </c>
      <c r="P1575" s="218">
        <f t="shared" ca="1" si="1519"/>
        <v>0</v>
      </c>
      <c r="Q1575" s="218">
        <f t="shared" ca="1" si="1519"/>
        <v>0</v>
      </c>
      <c r="R1575" s="218">
        <f t="shared" ca="1" si="1519"/>
        <v>0</v>
      </c>
      <c r="S1575" s="218">
        <f t="shared" ca="1" si="1519"/>
        <v>0</v>
      </c>
      <c r="T1575" s="218">
        <f t="shared" ca="1" si="1519"/>
        <v>0</v>
      </c>
      <c r="U1575" s="218">
        <f t="shared" ca="1" si="1519"/>
        <v>0</v>
      </c>
      <c r="V1575" s="218">
        <f t="shared" ca="1" si="1519"/>
        <v>0</v>
      </c>
    </row>
    <row r="1576" spans="2:22" ht="13.5" customHeight="1" outlineLevel="1">
      <c r="B1576" s="223" t="s">
        <v>661</v>
      </c>
      <c r="C1576" s="223"/>
      <c r="D1576" s="223"/>
      <c r="E1576" s="223"/>
      <c r="F1576" s="223"/>
      <c r="G1576" s="223"/>
      <c r="H1576" s="223"/>
      <c r="I1576" s="482"/>
      <c r="J1576" s="223"/>
      <c r="K1576" s="223"/>
      <c r="L1576" s="223"/>
      <c r="M1576" s="218">
        <f t="shared" ref="M1576:V1576" ca="1" si="1520">M1575*M1549*M$1520</f>
        <v>0</v>
      </c>
      <c r="N1576" s="218">
        <f t="shared" ca="1" si="1520"/>
        <v>0</v>
      </c>
      <c r="O1576" s="218">
        <f t="shared" ca="1" si="1520"/>
        <v>0</v>
      </c>
      <c r="P1576" s="218">
        <f t="shared" ca="1" si="1520"/>
        <v>0</v>
      </c>
      <c r="Q1576" s="218">
        <f t="shared" ca="1" si="1520"/>
        <v>0</v>
      </c>
      <c r="R1576" s="218">
        <f t="shared" ca="1" si="1520"/>
        <v>0</v>
      </c>
      <c r="S1576" s="218">
        <f t="shared" ca="1" si="1520"/>
        <v>0</v>
      </c>
      <c r="T1576" s="218">
        <f t="shared" ca="1" si="1520"/>
        <v>0</v>
      </c>
      <c r="U1576" s="218">
        <f t="shared" ca="1" si="1520"/>
        <v>0</v>
      </c>
      <c r="V1576" s="218">
        <f t="shared" ca="1" si="1520"/>
        <v>0</v>
      </c>
    </row>
    <row r="1577" spans="2:22" ht="13.5" customHeight="1" outlineLevel="1">
      <c r="B1577" s="223" t="s">
        <v>326</v>
      </c>
      <c r="C1577" s="223"/>
      <c r="D1577" s="223"/>
      <c r="E1577" s="223"/>
      <c r="F1577" s="223"/>
      <c r="G1577" s="223"/>
      <c r="H1577" s="223"/>
      <c r="I1577" s="223"/>
      <c r="J1577" s="223"/>
      <c r="K1577" s="223"/>
      <c r="L1577" s="223"/>
      <c r="M1577" s="218">
        <f t="shared" ref="M1577:V1577" ca="1" si="1521">M$1541*$H1507*M$1520</f>
        <v>0</v>
      </c>
      <c r="N1577" s="218">
        <f t="shared" ca="1" si="1521"/>
        <v>0</v>
      </c>
      <c r="O1577" s="218">
        <f t="shared" ca="1" si="1521"/>
        <v>0</v>
      </c>
      <c r="P1577" s="218">
        <f t="shared" ca="1" si="1521"/>
        <v>0</v>
      </c>
      <c r="Q1577" s="218">
        <f t="shared" ca="1" si="1521"/>
        <v>0</v>
      </c>
      <c r="R1577" s="218">
        <f t="shared" ca="1" si="1521"/>
        <v>0</v>
      </c>
      <c r="S1577" s="218">
        <f t="shared" ca="1" si="1521"/>
        <v>0</v>
      </c>
      <c r="T1577" s="218">
        <f t="shared" ca="1" si="1521"/>
        <v>0</v>
      </c>
      <c r="U1577" s="218">
        <f t="shared" ca="1" si="1521"/>
        <v>0</v>
      </c>
      <c r="V1577" s="218">
        <f t="shared" ca="1" si="1521"/>
        <v>0</v>
      </c>
    </row>
    <row r="1578" spans="2:22" ht="13.5" customHeight="1" outlineLevel="1">
      <c r="B1578" s="279" t="s">
        <v>327</v>
      </c>
      <c r="C1578" s="483"/>
      <c r="D1578" s="483"/>
      <c r="E1578" s="483"/>
      <c r="F1578" s="484"/>
      <c r="G1578" s="484"/>
      <c r="H1578" s="484"/>
      <c r="I1578" s="279"/>
      <c r="J1578" s="279"/>
      <c r="K1578" s="279"/>
      <c r="L1578" s="281">
        <f t="shared" ref="L1578:V1578" si="1522">SUM(L1572:L1577)</f>
        <v>0</v>
      </c>
      <c r="M1578" s="281">
        <f t="shared" ca="1" si="1522"/>
        <v>0</v>
      </c>
      <c r="N1578" s="281">
        <f t="shared" ca="1" si="1522"/>
        <v>0</v>
      </c>
      <c r="O1578" s="281">
        <f t="shared" ca="1" si="1522"/>
        <v>0</v>
      </c>
      <c r="P1578" s="281">
        <f t="shared" ca="1" si="1522"/>
        <v>0</v>
      </c>
      <c r="Q1578" s="281">
        <f t="shared" ca="1" si="1522"/>
        <v>0</v>
      </c>
      <c r="R1578" s="281">
        <f t="shared" ca="1" si="1522"/>
        <v>0</v>
      </c>
      <c r="S1578" s="281">
        <f t="shared" ca="1" si="1522"/>
        <v>0</v>
      </c>
      <c r="T1578" s="281">
        <f t="shared" ca="1" si="1522"/>
        <v>0</v>
      </c>
      <c r="U1578" s="281">
        <f t="shared" ca="1" si="1522"/>
        <v>0</v>
      </c>
      <c r="V1578" s="281">
        <f t="shared" ca="1" si="1522"/>
        <v>0</v>
      </c>
    </row>
    <row r="1579" spans="2:22" ht="5.0999999999999996" customHeight="1" outlineLevel="1">
      <c r="B1579" s="223"/>
      <c r="C1579" s="485"/>
      <c r="D1579" s="485"/>
      <c r="E1579" s="485"/>
      <c r="F1579" s="486"/>
      <c r="G1579" s="486"/>
      <c r="H1579" s="486"/>
      <c r="I1579" s="223"/>
      <c r="J1579" s="223"/>
      <c r="K1579" s="223"/>
      <c r="L1579" s="214"/>
      <c r="M1579" s="214"/>
      <c r="N1579" s="214"/>
      <c r="O1579" s="214"/>
      <c r="P1579" s="214"/>
      <c r="Q1579" s="214"/>
      <c r="R1579" s="214"/>
      <c r="S1579" s="214"/>
      <c r="T1579" s="214"/>
      <c r="U1579" s="214"/>
      <c r="V1579" s="214"/>
    </row>
    <row r="1580" spans="2:22" ht="13.5" customHeight="1" outlineLevel="1">
      <c r="B1580" s="487" t="s">
        <v>418</v>
      </c>
      <c r="C1580" s="488">
        <f ca="1">IFERROR(XIRR(L1578:V1578,L$1518:V$1518),0)</f>
        <v>0</v>
      </c>
      <c r="D1580" s="186"/>
      <c r="E1580" s="186"/>
      <c r="F1580" s="186"/>
      <c r="G1580" s="186"/>
      <c r="H1580" s="186"/>
      <c r="I1580" s="186"/>
      <c r="J1580" s="186"/>
      <c r="K1580" s="489"/>
      <c r="L1580" s="489"/>
      <c r="M1580" s="490"/>
      <c r="N1580" s="490"/>
      <c r="O1580" s="490"/>
      <c r="P1580" s="490"/>
      <c r="Q1580" s="490"/>
      <c r="R1580" s="490"/>
      <c r="S1580" s="490"/>
      <c r="T1580" s="490"/>
      <c r="U1580" s="490"/>
      <c r="V1580" s="490"/>
    </row>
    <row r="1581" spans="2:22" ht="13.5" customHeight="1" outlineLevel="1">
      <c r="B1581" s="491" t="s">
        <v>417</v>
      </c>
      <c r="C1581" s="492" t="str">
        <f ca="1">IFERROR(-SUM(M1578:V1578)/L1578,"NA")</f>
        <v>NA</v>
      </c>
      <c r="D1581" s="186"/>
      <c r="E1581" s="186"/>
      <c r="F1581" s="186"/>
      <c r="G1581" s="186"/>
      <c r="H1581" s="186"/>
      <c r="I1581" s="186"/>
      <c r="J1581" s="186"/>
      <c r="K1581" s="489"/>
      <c r="L1581" s="489"/>
      <c r="M1581" s="490"/>
      <c r="N1581" s="490"/>
      <c r="O1581" s="490"/>
      <c r="P1581" s="490"/>
      <c r="Q1581" s="490"/>
      <c r="R1581" s="490"/>
      <c r="S1581" s="490"/>
      <c r="T1581" s="490"/>
      <c r="U1581" s="490"/>
      <c r="V1581" s="490"/>
    </row>
    <row r="1582" spans="2:22" ht="5.0999999999999996" customHeight="1" outlineLevel="1" thickBot="1">
      <c r="B1582" s="493"/>
      <c r="C1582" s="152"/>
      <c r="D1582" s="152"/>
      <c r="E1582" s="152"/>
      <c r="F1582" s="494"/>
      <c r="G1582" s="494"/>
      <c r="H1582" s="494"/>
      <c r="I1582" s="152"/>
      <c r="J1582" s="152"/>
      <c r="K1582" s="152"/>
      <c r="L1582" s="152"/>
      <c r="M1582" s="152"/>
      <c r="N1582" s="152"/>
      <c r="O1582" s="152"/>
      <c r="P1582" s="152"/>
      <c r="Q1582" s="152"/>
      <c r="R1582" s="152"/>
      <c r="S1582" s="152"/>
      <c r="T1582" s="152"/>
      <c r="U1582" s="152"/>
      <c r="V1582" s="152"/>
    </row>
    <row r="1583" spans="2:22" ht="13.5" customHeight="1" outlineLevel="1"/>
    <row r="1584" spans="2:22" ht="13.5" customHeight="1" outlineLevel="1">
      <c r="B1584" s="273" t="str">
        <f>B1262</f>
        <v>Preferred stock - A</v>
      </c>
      <c r="C1584" s="274"/>
      <c r="D1584" s="274"/>
      <c r="E1584" s="274"/>
      <c r="F1584" s="274"/>
      <c r="G1584" s="274"/>
      <c r="H1584" s="274"/>
      <c r="I1584" s="274"/>
      <c r="J1584" s="274"/>
      <c r="K1584" s="274"/>
      <c r="L1584" s="274"/>
      <c r="M1584" s="480"/>
      <c r="N1584" s="480"/>
      <c r="O1584" s="480"/>
      <c r="P1584" s="480"/>
      <c r="Q1584" s="480"/>
      <c r="R1584" s="480"/>
      <c r="S1584" s="480"/>
      <c r="T1584" s="480"/>
      <c r="U1584" s="480"/>
      <c r="V1584" s="480"/>
    </row>
    <row r="1585" spans="2:22" ht="13.5" customHeight="1" outlineLevel="1">
      <c r="B1585" s="223" t="s">
        <v>324</v>
      </c>
      <c r="C1585" s="223"/>
      <c r="D1585" s="223"/>
      <c r="E1585" s="223"/>
      <c r="F1585" s="223"/>
      <c r="G1585" s="223"/>
      <c r="H1585" s="223"/>
      <c r="I1585" s="223"/>
      <c r="J1585" s="223"/>
      <c r="K1585" s="223"/>
      <c r="L1585" s="285">
        <f>-M1262+L792</f>
        <v>-9.5</v>
      </c>
      <c r="M1585" s="223"/>
      <c r="N1585" s="481"/>
      <c r="O1585" s="481"/>
      <c r="P1585" s="481"/>
      <c r="Q1585" s="481"/>
      <c r="R1585" s="481"/>
      <c r="S1585" s="481"/>
      <c r="T1585" s="481"/>
      <c r="U1585" s="481"/>
      <c r="V1585" s="481"/>
    </row>
    <row r="1586" spans="2:22" ht="13.5" customHeight="1" outlineLevel="1">
      <c r="B1586" s="223" t="s">
        <v>328</v>
      </c>
      <c r="C1586" s="223"/>
      <c r="D1586" s="223"/>
      <c r="E1586" s="223"/>
      <c r="F1586" s="223"/>
      <c r="G1586" s="223"/>
      <c r="H1586" s="223"/>
      <c r="I1586" s="482"/>
      <c r="J1586" s="223"/>
      <c r="K1586" s="223"/>
      <c r="L1586" s="223"/>
      <c r="M1586" s="285">
        <f t="shared" ref="M1586:V1586" si="1523">(M795-M774)*(M$1517&lt;=exit_year)</f>
        <v>0</v>
      </c>
      <c r="N1586" s="285">
        <f t="shared" ca="1" si="1523"/>
        <v>-0.125</v>
      </c>
      <c r="O1586" s="285">
        <f t="shared" ca="1" si="1523"/>
        <v>-0.125</v>
      </c>
      <c r="P1586" s="285">
        <f t="shared" ca="1" si="1523"/>
        <v>1.2337503999999999</v>
      </c>
      <c r="Q1586" s="285">
        <f t="shared" ca="1" si="1523"/>
        <v>0</v>
      </c>
      <c r="R1586" s="285">
        <f t="shared" ca="1" si="1523"/>
        <v>0</v>
      </c>
      <c r="S1586" s="285">
        <f t="shared" ca="1" si="1523"/>
        <v>0</v>
      </c>
      <c r="T1586" s="285">
        <f t="shared" ca="1" si="1523"/>
        <v>0</v>
      </c>
      <c r="U1586" s="285">
        <f t="shared" ca="1" si="1523"/>
        <v>0</v>
      </c>
      <c r="V1586" s="285">
        <f t="shared" ca="1" si="1523"/>
        <v>0</v>
      </c>
    </row>
    <row r="1587" spans="2:22" ht="13.5" customHeight="1" outlineLevel="1">
      <c r="B1587" s="223" t="s">
        <v>653</v>
      </c>
      <c r="C1587" s="223"/>
      <c r="D1587" s="223"/>
      <c r="E1587" s="223"/>
      <c r="F1587" s="223"/>
      <c r="G1587" s="223"/>
      <c r="H1587" s="223"/>
      <c r="I1587" s="482"/>
      <c r="J1587" s="223"/>
      <c r="K1587" s="223"/>
      <c r="L1587" s="223"/>
      <c r="M1587" s="218">
        <f t="shared" ref="M1587:V1587" ca="1" si="1524">M777*M$1520</f>
        <v>0</v>
      </c>
      <c r="N1587" s="218">
        <f t="shared" ca="1" si="1524"/>
        <v>0</v>
      </c>
      <c r="O1587" s="218">
        <f t="shared" ca="1" si="1524"/>
        <v>0</v>
      </c>
      <c r="P1587" s="218">
        <f t="shared" ca="1" si="1524"/>
        <v>14.5084768</v>
      </c>
      <c r="Q1587" s="218">
        <f t="shared" ca="1" si="1524"/>
        <v>0</v>
      </c>
      <c r="R1587" s="218">
        <f t="shared" ca="1" si="1524"/>
        <v>0</v>
      </c>
      <c r="S1587" s="218">
        <f t="shared" ca="1" si="1524"/>
        <v>0</v>
      </c>
      <c r="T1587" s="218">
        <f t="shared" ca="1" si="1524"/>
        <v>0</v>
      </c>
      <c r="U1587" s="218">
        <f t="shared" ca="1" si="1524"/>
        <v>0</v>
      </c>
      <c r="V1587" s="218">
        <f t="shared" ca="1" si="1524"/>
        <v>0</v>
      </c>
    </row>
    <row r="1588" spans="2:22" ht="13.5" customHeight="1" outlineLevel="1">
      <c r="B1588" s="223" t="s">
        <v>661</v>
      </c>
      <c r="C1588" s="223"/>
      <c r="D1588" s="223"/>
      <c r="E1588" s="223"/>
      <c r="F1588" s="223"/>
      <c r="G1588" s="223"/>
      <c r="H1588" s="223"/>
      <c r="I1588" s="482"/>
      <c r="J1588" s="223"/>
      <c r="K1588" s="223"/>
      <c r="L1588" s="223"/>
      <c r="M1588" s="218">
        <f t="shared" ref="M1588:V1588" ca="1" si="1525">M1587*M1553*M$1520</f>
        <v>0</v>
      </c>
      <c r="N1588" s="218">
        <f t="shared" ca="1" si="1525"/>
        <v>0</v>
      </c>
      <c r="O1588" s="218">
        <f t="shared" ca="1" si="1525"/>
        <v>0</v>
      </c>
      <c r="P1588" s="218">
        <f t="shared" ca="1" si="1525"/>
        <v>0</v>
      </c>
      <c r="Q1588" s="218">
        <f t="shared" ca="1" si="1525"/>
        <v>0</v>
      </c>
      <c r="R1588" s="218">
        <f t="shared" ca="1" si="1525"/>
        <v>0</v>
      </c>
      <c r="S1588" s="218">
        <f t="shared" ca="1" si="1525"/>
        <v>0</v>
      </c>
      <c r="T1588" s="218">
        <f t="shared" ca="1" si="1525"/>
        <v>0</v>
      </c>
      <c r="U1588" s="218">
        <f t="shared" ca="1" si="1525"/>
        <v>0</v>
      </c>
      <c r="V1588" s="218">
        <f t="shared" ca="1" si="1525"/>
        <v>0</v>
      </c>
    </row>
    <row r="1589" spans="2:22" ht="13.5" customHeight="1" outlineLevel="1">
      <c r="B1589" s="223" t="s">
        <v>326</v>
      </c>
      <c r="C1589" s="223"/>
      <c r="D1589" s="223"/>
      <c r="E1589" s="223"/>
      <c r="F1589" s="223"/>
      <c r="G1589" s="223"/>
      <c r="H1589" s="223"/>
      <c r="I1589" s="223"/>
      <c r="J1589" s="223"/>
      <c r="K1589" s="223"/>
      <c r="L1589" s="223"/>
      <c r="M1589" s="218">
        <f t="shared" ref="M1589:V1589" ca="1" si="1526">M$1541*$H1511*M$1520</f>
        <v>0</v>
      </c>
      <c r="N1589" s="218">
        <f t="shared" ca="1" si="1526"/>
        <v>0</v>
      </c>
      <c r="O1589" s="218">
        <f t="shared" ca="1" si="1526"/>
        <v>0</v>
      </c>
      <c r="P1589" s="218">
        <f t="shared" ca="1" si="1526"/>
        <v>2.6076085498736075</v>
      </c>
      <c r="Q1589" s="218">
        <f t="shared" ca="1" si="1526"/>
        <v>0</v>
      </c>
      <c r="R1589" s="218">
        <f t="shared" ca="1" si="1526"/>
        <v>0</v>
      </c>
      <c r="S1589" s="218">
        <f t="shared" ca="1" si="1526"/>
        <v>0</v>
      </c>
      <c r="T1589" s="218">
        <f t="shared" ca="1" si="1526"/>
        <v>0</v>
      </c>
      <c r="U1589" s="218">
        <f t="shared" ca="1" si="1526"/>
        <v>0</v>
      </c>
      <c r="V1589" s="218">
        <f t="shared" ca="1" si="1526"/>
        <v>0</v>
      </c>
    </row>
    <row r="1590" spans="2:22" ht="13.5" customHeight="1" outlineLevel="1">
      <c r="B1590" s="279" t="s">
        <v>327</v>
      </c>
      <c r="C1590" s="483"/>
      <c r="D1590" s="483"/>
      <c r="E1590" s="483"/>
      <c r="F1590" s="484"/>
      <c r="G1590" s="484"/>
      <c r="H1590" s="484"/>
      <c r="I1590" s="279"/>
      <c r="J1590" s="279"/>
      <c r="K1590" s="279"/>
      <c r="L1590" s="281">
        <f t="shared" ref="L1590:V1590" si="1527">SUM(L1585:L1589)</f>
        <v>-9.5</v>
      </c>
      <c r="M1590" s="281">
        <f t="shared" ca="1" si="1527"/>
        <v>0</v>
      </c>
      <c r="N1590" s="281">
        <f t="shared" ca="1" si="1527"/>
        <v>-0.125</v>
      </c>
      <c r="O1590" s="281">
        <f t="shared" ca="1" si="1527"/>
        <v>-0.125</v>
      </c>
      <c r="P1590" s="281">
        <f t="shared" ca="1" si="1527"/>
        <v>18.349835749873609</v>
      </c>
      <c r="Q1590" s="281">
        <f t="shared" ca="1" si="1527"/>
        <v>0</v>
      </c>
      <c r="R1590" s="281">
        <f t="shared" ca="1" si="1527"/>
        <v>0</v>
      </c>
      <c r="S1590" s="281">
        <f t="shared" ca="1" si="1527"/>
        <v>0</v>
      </c>
      <c r="T1590" s="281">
        <f t="shared" ca="1" si="1527"/>
        <v>0</v>
      </c>
      <c r="U1590" s="281">
        <f t="shared" ca="1" si="1527"/>
        <v>0</v>
      </c>
      <c r="V1590" s="281">
        <f t="shared" ca="1" si="1527"/>
        <v>0</v>
      </c>
    </row>
    <row r="1591" spans="2:22" ht="5.0999999999999996" customHeight="1" outlineLevel="1">
      <c r="B1591" s="223"/>
      <c r="C1591" s="485"/>
      <c r="D1591" s="485"/>
      <c r="E1591" s="485"/>
      <c r="F1591" s="486"/>
      <c r="G1591" s="486"/>
      <c r="H1591" s="486"/>
      <c r="I1591" s="223"/>
      <c r="J1591" s="223"/>
      <c r="K1591" s="223"/>
      <c r="L1591" s="214"/>
      <c r="M1591" s="214"/>
      <c r="N1591" s="214"/>
      <c r="O1591" s="214"/>
      <c r="P1591" s="214"/>
      <c r="Q1591" s="214"/>
      <c r="R1591" s="214"/>
      <c r="S1591" s="214"/>
      <c r="T1591" s="214"/>
      <c r="U1591" s="214"/>
      <c r="V1591" s="214"/>
    </row>
    <row r="1592" spans="2:22" ht="13.5" customHeight="1" outlineLevel="1">
      <c r="B1592" s="487" t="s">
        <v>418</v>
      </c>
      <c r="C1592" s="495">
        <f ca="1">IFERROR(XIRR(L1590:V1590,L$1518:V$1518),0)</f>
        <v>0.18621806502342222</v>
      </c>
      <c r="D1592" s="223"/>
      <c r="E1592" s="223"/>
      <c r="F1592" s="223"/>
      <c r="G1592" s="223"/>
      <c r="H1592" s="223"/>
      <c r="I1592" s="223"/>
      <c r="J1592" s="223"/>
      <c r="K1592" s="496"/>
      <c r="L1592" s="496"/>
      <c r="M1592" s="490"/>
      <c r="N1592" s="490"/>
      <c r="O1592" s="490"/>
      <c r="P1592" s="490"/>
      <c r="Q1592" s="490"/>
      <c r="R1592" s="490"/>
      <c r="S1592" s="490"/>
      <c r="T1592" s="490"/>
      <c r="U1592" s="490"/>
      <c r="V1592" s="490"/>
    </row>
    <row r="1593" spans="2:22" ht="13.5" customHeight="1" outlineLevel="1">
      <c r="B1593" s="491" t="s">
        <v>417</v>
      </c>
      <c r="C1593" s="492">
        <f ca="1">IFERROR(-SUM(M1590:V1590)/L1590,"NA")</f>
        <v>1.9052458684077482</v>
      </c>
      <c r="D1593" s="186"/>
      <c r="E1593" s="186"/>
      <c r="F1593" s="186"/>
      <c r="G1593" s="186"/>
      <c r="H1593" s="186"/>
      <c r="I1593" s="186"/>
      <c r="J1593" s="186"/>
      <c r="K1593" s="489"/>
      <c r="L1593" s="489"/>
      <c r="M1593" s="490"/>
      <c r="N1593" s="490"/>
      <c r="O1593" s="490"/>
      <c r="P1593" s="490"/>
      <c r="Q1593" s="490"/>
      <c r="R1593" s="490"/>
      <c r="S1593" s="490"/>
      <c r="T1593" s="490"/>
      <c r="U1593" s="490"/>
      <c r="V1593" s="490"/>
    </row>
    <row r="1594" spans="2:22" ht="5.0999999999999996" customHeight="1" outlineLevel="1" thickBot="1">
      <c r="B1594" s="493"/>
      <c r="C1594" s="152"/>
      <c r="D1594" s="152"/>
      <c r="E1594" s="152"/>
      <c r="F1594" s="494"/>
      <c r="G1594" s="494"/>
      <c r="H1594" s="494"/>
      <c r="I1594" s="152"/>
      <c r="J1594" s="152"/>
      <c r="K1594" s="152"/>
      <c r="L1594" s="152"/>
      <c r="M1594" s="152"/>
      <c r="N1594" s="152"/>
      <c r="O1594" s="152"/>
      <c r="P1594" s="152"/>
      <c r="Q1594" s="152"/>
      <c r="R1594" s="152"/>
      <c r="S1594" s="152"/>
      <c r="T1594" s="152"/>
      <c r="U1594" s="152"/>
      <c r="V1594" s="152"/>
    </row>
    <row r="1595" spans="2:22" ht="13.5" customHeight="1" outlineLevel="1">
      <c r="M1595" s="145"/>
      <c r="N1595" s="145"/>
      <c r="O1595" s="145"/>
      <c r="P1595" s="145"/>
      <c r="Q1595" s="145"/>
      <c r="R1595" s="145"/>
      <c r="S1595" s="145"/>
      <c r="T1595" s="145"/>
      <c r="U1595" s="145"/>
      <c r="V1595" s="145"/>
    </row>
    <row r="1596" spans="2:22" ht="13.5" customHeight="1" outlineLevel="1">
      <c r="B1596" s="273" t="str">
        <f>B1263</f>
        <v>Preferred stock - B</v>
      </c>
      <c r="C1596" s="274"/>
      <c r="D1596" s="274"/>
      <c r="E1596" s="274"/>
      <c r="F1596" s="274"/>
      <c r="G1596" s="274"/>
      <c r="H1596" s="274"/>
      <c r="I1596" s="274"/>
      <c r="J1596" s="274"/>
      <c r="K1596" s="274"/>
      <c r="L1596" s="274"/>
      <c r="M1596" s="480"/>
      <c r="N1596" s="480"/>
      <c r="O1596" s="480"/>
      <c r="P1596" s="480"/>
      <c r="Q1596" s="480"/>
      <c r="R1596" s="480"/>
      <c r="S1596" s="480"/>
      <c r="T1596" s="480"/>
      <c r="U1596" s="480"/>
      <c r="V1596" s="480"/>
    </row>
    <row r="1597" spans="2:22" ht="13.5" customHeight="1" outlineLevel="1">
      <c r="B1597" s="223" t="s">
        <v>324</v>
      </c>
      <c r="C1597" s="223"/>
      <c r="D1597" s="223"/>
      <c r="E1597" s="223"/>
      <c r="F1597" s="223"/>
      <c r="G1597" s="223"/>
      <c r="H1597" s="223"/>
      <c r="I1597" s="223"/>
      <c r="J1597" s="223"/>
      <c r="K1597" s="223"/>
      <c r="L1597" s="285">
        <f>-M1263+L821</f>
        <v>0</v>
      </c>
      <c r="M1597" s="223"/>
      <c r="N1597" s="223"/>
      <c r="O1597" s="223"/>
      <c r="P1597" s="223"/>
      <c r="Q1597" s="223"/>
      <c r="R1597" s="223"/>
      <c r="S1597" s="223"/>
      <c r="T1597" s="223"/>
      <c r="U1597" s="223"/>
      <c r="V1597" s="223"/>
    </row>
    <row r="1598" spans="2:22" ht="13.5" customHeight="1" outlineLevel="1">
      <c r="B1598" s="223" t="s">
        <v>328</v>
      </c>
      <c r="C1598" s="223"/>
      <c r="D1598" s="223"/>
      <c r="E1598" s="223"/>
      <c r="F1598" s="223"/>
      <c r="G1598" s="223"/>
      <c r="H1598" s="223"/>
      <c r="I1598" s="223"/>
      <c r="J1598" s="223"/>
      <c r="K1598" s="223"/>
      <c r="L1598" s="223"/>
      <c r="M1598" s="285">
        <f t="shared" ref="M1598:V1598" si="1528">(M824-M803)*(M$1517&lt;=exit_year)</f>
        <v>0</v>
      </c>
      <c r="N1598" s="285">
        <f t="shared" ca="1" si="1528"/>
        <v>0</v>
      </c>
      <c r="O1598" s="285">
        <f t="shared" ca="1" si="1528"/>
        <v>0</v>
      </c>
      <c r="P1598" s="285">
        <f t="shared" ca="1" si="1528"/>
        <v>0</v>
      </c>
      <c r="Q1598" s="285">
        <f t="shared" ca="1" si="1528"/>
        <v>0</v>
      </c>
      <c r="R1598" s="285">
        <f t="shared" ca="1" si="1528"/>
        <v>0</v>
      </c>
      <c r="S1598" s="285">
        <f t="shared" ca="1" si="1528"/>
        <v>0</v>
      </c>
      <c r="T1598" s="285">
        <f t="shared" ca="1" si="1528"/>
        <v>0</v>
      </c>
      <c r="U1598" s="285">
        <f t="shared" ca="1" si="1528"/>
        <v>0</v>
      </c>
      <c r="V1598" s="285">
        <f t="shared" ca="1" si="1528"/>
        <v>0</v>
      </c>
    </row>
    <row r="1599" spans="2:22" ht="13.5" customHeight="1" outlineLevel="1">
      <c r="B1599" s="223" t="s">
        <v>653</v>
      </c>
      <c r="C1599" s="223"/>
      <c r="D1599" s="223"/>
      <c r="E1599" s="223"/>
      <c r="F1599" s="223"/>
      <c r="G1599" s="223"/>
      <c r="H1599" s="223"/>
      <c r="I1599" s="223"/>
      <c r="J1599" s="223"/>
      <c r="K1599" s="223"/>
      <c r="L1599" s="223"/>
      <c r="M1599" s="218">
        <f t="shared" ref="M1599:V1599" ca="1" si="1529">M806*M$1520</f>
        <v>0</v>
      </c>
      <c r="N1599" s="218">
        <f t="shared" ca="1" si="1529"/>
        <v>0</v>
      </c>
      <c r="O1599" s="218">
        <f t="shared" ca="1" si="1529"/>
        <v>0</v>
      </c>
      <c r="P1599" s="218">
        <f t="shared" ca="1" si="1529"/>
        <v>0</v>
      </c>
      <c r="Q1599" s="218">
        <f t="shared" ca="1" si="1529"/>
        <v>0</v>
      </c>
      <c r="R1599" s="218">
        <f t="shared" ca="1" si="1529"/>
        <v>0</v>
      </c>
      <c r="S1599" s="218">
        <f t="shared" ca="1" si="1529"/>
        <v>0</v>
      </c>
      <c r="T1599" s="218">
        <f t="shared" ca="1" si="1529"/>
        <v>0</v>
      </c>
      <c r="U1599" s="218">
        <f t="shared" ca="1" si="1529"/>
        <v>0</v>
      </c>
      <c r="V1599" s="218">
        <f t="shared" ca="1" si="1529"/>
        <v>0</v>
      </c>
    </row>
    <row r="1600" spans="2:22" ht="13.5" customHeight="1" outlineLevel="1">
      <c r="B1600" s="223" t="s">
        <v>661</v>
      </c>
      <c r="C1600" s="223"/>
      <c r="D1600" s="223"/>
      <c r="E1600" s="223"/>
      <c r="F1600" s="223"/>
      <c r="G1600" s="223"/>
      <c r="H1600" s="223"/>
      <c r="I1600" s="223"/>
      <c r="J1600" s="223"/>
      <c r="K1600" s="223"/>
      <c r="L1600" s="223"/>
      <c r="M1600" s="218">
        <f t="shared" ref="M1600:V1600" ca="1" si="1530">M1599*M1554*M$1520</f>
        <v>0</v>
      </c>
      <c r="N1600" s="218">
        <f t="shared" ca="1" si="1530"/>
        <v>0</v>
      </c>
      <c r="O1600" s="218">
        <f t="shared" ca="1" si="1530"/>
        <v>0</v>
      </c>
      <c r="P1600" s="218">
        <f t="shared" ca="1" si="1530"/>
        <v>0</v>
      </c>
      <c r="Q1600" s="218">
        <f t="shared" ca="1" si="1530"/>
        <v>0</v>
      </c>
      <c r="R1600" s="218">
        <f t="shared" ca="1" si="1530"/>
        <v>0</v>
      </c>
      <c r="S1600" s="218">
        <f t="shared" ca="1" si="1530"/>
        <v>0</v>
      </c>
      <c r="T1600" s="218">
        <f t="shared" ca="1" si="1530"/>
        <v>0</v>
      </c>
      <c r="U1600" s="218">
        <f t="shared" ca="1" si="1530"/>
        <v>0</v>
      </c>
      <c r="V1600" s="218">
        <f t="shared" ca="1" si="1530"/>
        <v>0</v>
      </c>
    </row>
    <row r="1601" spans="2:22" ht="13.5" customHeight="1" outlineLevel="1">
      <c r="B1601" s="223" t="s">
        <v>326</v>
      </c>
      <c r="C1601" s="223"/>
      <c r="D1601" s="223"/>
      <c r="E1601" s="223"/>
      <c r="F1601" s="223"/>
      <c r="G1601" s="223"/>
      <c r="H1601" s="223"/>
      <c r="I1601" s="223"/>
      <c r="J1601" s="223"/>
      <c r="K1601" s="223"/>
      <c r="L1601" s="223"/>
      <c r="M1601" s="218">
        <f t="shared" ref="M1601:V1601" ca="1" si="1531">M$1541*$H1512*M$1520</f>
        <v>0</v>
      </c>
      <c r="N1601" s="218">
        <f t="shared" ca="1" si="1531"/>
        <v>0</v>
      </c>
      <c r="O1601" s="218">
        <f t="shared" ca="1" si="1531"/>
        <v>0</v>
      </c>
      <c r="P1601" s="218">
        <f t="shared" ca="1" si="1531"/>
        <v>0</v>
      </c>
      <c r="Q1601" s="218">
        <f t="shared" ca="1" si="1531"/>
        <v>0</v>
      </c>
      <c r="R1601" s="218">
        <f t="shared" ca="1" si="1531"/>
        <v>0</v>
      </c>
      <c r="S1601" s="218">
        <f t="shared" ca="1" si="1531"/>
        <v>0</v>
      </c>
      <c r="T1601" s="218">
        <f t="shared" ca="1" si="1531"/>
        <v>0</v>
      </c>
      <c r="U1601" s="218">
        <f t="shared" ca="1" si="1531"/>
        <v>0</v>
      </c>
      <c r="V1601" s="218">
        <f t="shared" ca="1" si="1531"/>
        <v>0</v>
      </c>
    </row>
    <row r="1602" spans="2:22" ht="13.5" customHeight="1" outlineLevel="1">
      <c r="B1602" s="279" t="s">
        <v>327</v>
      </c>
      <c r="C1602" s="483"/>
      <c r="D1602" s="483"/>
      <c r="E1602" s="483"/>
      <c r="F1602" s="484"/>
      <c r="G1602" s="484"/>
      <c r="H1602" s="484"/>
      <c r="I1602" s="279"/>
      <c r="J1602" s="279"/>
      <c r="K1602" s="279"/>
      <c r="L1602" s="281">
        <f t="shared" ref="L1602:V1602" si="1532">SUM(L1597:L1601)</f>
        <v>0</v>
      </c>
      <c r="M1602" s="281">
        <f t="shared" ca="1" si="1532"/>
        <v>0</v>
      </c>
      <c r="N1602" s="281">
        <f t="shared" ca="1" si="1532"/>
        <v>0</v>
      </c>
      <c r="O1602" s="281">
        <f t="shared" ca="1" si="1532"/>
        <v>0</v>
      </c>
      <c r="P1602" s="281">
        <f t="shared" ca="1" si="1532"/>
        <v>0</v>
      </c>
      <c r="Q1602" s="281">
        <f t="shared" ca="1" si="1532"/>
        <v>0</v>
      </c>
      <c r="R1602" s="281">
        <f t="shared" ca="1" si="1532"/>
        <v>0</v>
      </c>
      <c r="S1602" s="281">
        <f t="shared" ca="1" si="1532"/>
        <v>0</v>
      </c>
      <c r="T1602" s="281">
        <f t="shared" ca="1" si="1532"/>
        <v>0</v>
      </c>
      <c r="U1602" s="281">
        <f t="shared" ca="1" si="1532"/>
        <v>0</v>
      </c>
      <c r="V1602" s="281">
        <f t="shared" ca="1" si="1532"/>
        <v>0</v>
      </c>
    </row>
    <row r="1603" spans="2:22" ht="5.0999999999999996" customHeight="1" outlineLevel="1">
      <c r="B1603" s="223"/>
      <c r="C1603" s="485"/>
      <c r="D1603" s="485"/>
      <c r="E1603" s="485"/>
      <c r="F1603" s="486"/>
      <c r="G1603" s="486"/>
      <c r="H1603" s="486"/>
      <c r="I1603" s="223"/>
      <c r="J1603" s="223"/>
      <c r="K1603" s="223"/>
      <c r="L1603" s="214"/>
      <c r="M1603" s="214"/>
      <c r="N1603" s="214"/>
      <c r="O1603" s="214"/>
      <c r="P1603" s="214"/>
      <c r="Q1603" s="214"/>
      <c r="R1603" s="214"/>
      <c r="S1603" s="214"/>
      <c r="T1603" s="214"/>
      <c r="U1603" s="214"/>
      <c r="V1603" s="214"/>
    </row>
    <row r="1604" spans="2:22" ht="13.5" customHeight="1" outlineLevel="1">
      <c r="B1604" s="487" t="s">
        <v>418</v>
      </c>
      <c r="C1604" s="495">
        <f ca="1">IFERROR(XIRR(L1602:V1602,L$1518:V$1518),0)</f>
        <v>0</v>
      </c>
      <c r="D1604" s="223"/>
      <c r="E1604" s="223"/>
      <c r="F1604" s="223"/>
      <c r="G1604" s="223"/>
      <c r="H1604" s="223"/>
      <c r="I1604" s="223"/>
      <c r="J1604" s="223"/>
      <c r="K1604" s="497"/>
      <c r="L1604" s="497"/>
      <c r="M1604" s="490"/>
      <c r="N1604" s="490"/>
      <c r="O1604" s="490"/>
      <c r="P1604" s="490"/>
      <c r="Q1604" s="490"/>
      <c r="R1604" s="490"/>
      <c r="S1604" s="490"/>
      <c r="T1604" s="490"/>
      <c r="U1604" s="490"/>
      <c r="V1604" s="490"/>
    </row>
    <row r="1605" spans="2:22" ht="13.5" customHeight="1" outlineLevel="1">
      <c r="B1605" s="491" t="s">
        <v>417</v>
      </c>
      <c r="C1605" s="492" t="str">
        <f ca="1">IFERROR(-SUM(M1602:V1602)/L1602,"NA")</f>
        <v>NA</v>
      </c>
      <c r="D1605" s="186"/>
      <c r="E1605" s="186"/>
      <c r="F1605" s="186"/>
      <c r="G1605" s="186"/>
      <c r="H1605" s="186"/>
      <c r="I1605" s="186"/>
      <c r="J1605" s="186"/>
      <c r="K1605" s="489"/>
      <c r="L1605" s="489"/>
      <c r="M1605" s="490"/>
      <c r="N1605" s="490"/>
      <c r="O1605" s="490"/>
      <c r="P1605" s="490"/>
      <c r="Q1605" s="490"/>
      <c r="R1605" s="490"/>
      <c r="S1605" s="490"/>
      <c r="T1605" s="490"/>
      <c r="U1605" s="490"/>
      <c r="V1605" s="490"/>
    </row>
    <row r="1606" spans="2:22" ht="5.0999999999999996" customHeight="1" outlineLevel="1" thickBot="1">
      <c r="B1606" s="493"/>
      <c r="C1606" s="152"/>
      <c r="D1606" s="152"/>
      <c r="E1606" s="152"/>
      <c r="F1606" s="494"/>
      <c r="G1606" s="494"/>
      <c r="H1606" s="494"/>
      <c r="I1606" s="152"/>
      <c r="J1606" s="152"/>
      <c r="K1606" s="152"/>
      <c r="L1606" s="152"/>
      <c r="M1606" s="152"/>
      <c r="N1606" s="152"/>
      <c r="O1606" s="152"/>
      <c r="P1606" s="152"/>
      <c r="Q1606" s="152"/>
      <c r="R1606" s="152"/>
      <c r="S1606" s="152"/>
      <c r="T1606" s="152"/>
      <c r="U1606" s="152"/>
      <c r="V1606" s="152"/>
    </row>
    <row r="1607" spans="2:22" ht="13.5" customHeight="1" outlineLevel="1">
      <c r="O1607" s="498"/>
    </row>
    <row r="1608" spans="2:22" ht="13.5" customHeight="1" outlineLevel="1">
      <c r="B1608" s="273" t="s">
        <v>330</v>
      </c>
      <c r="C1608" s="274"/>
      <c r="D1608" s="274"/>
      <c r="E1608" s="274"/>
      <c r="F1608" s="274"/>
      <c r="G1608" s="274"/>
      <c r="H1608" s="274"/>
      <c r="I1608" s="274"/>
      <c r="J1608" s="274"/>
      <c r="K1608" s="274"/>
      <c r="L1608" s="274"/>
      <c r="M1608" s="480"/>
      <c r="N1608" s="480"/>
      <c r="O1608" s="480"/>
      <c r="P1608" s="480"/>
      <c r="Q1608" s="480"/>
      <c r="R1608" s="480"/>
      <c r="S1608" s="480"/>
      <c r="T1608" s="480"/>
      <c r="U1608" s="480"/>
      <c r="V1608" s="480"/>
    </row>
    <row r="1609" spans="2:22" ht="13.5" customHeight="1" outlineLevel="1">
      <c r="B1609" s="223" t="s">
        <v>324</v>
      </c>
      <c r="C1609" s="223"/>
      <c r="D1609" s="223"/>
      <c r="E1609" s="223"/>
      <c r="F1609" s="223"/>
      <c r="G1609" s="223"/>
      <c r="H1609" s="223"/>
      <c r="I1609" s="223"/>
      <c r="J1609" s="223"/>
      <c r="K1609" s="223"/>
      <c r="L1609" s="285">
        <f ca="1">-M1264</f>
        <v>-520.71831193147796</v>
      </c>
      <c r="M1609" s="223"/>
      <c r="N1609" s="223"/>
      <c r="O1609" s="499"/>
      <c r="P1609" s="223"/>
      <c r="Q1609" s="223"/>
      <c r="R1609" s="223"/>
      <c r="S1609" s="223"/>
      <c r="T1609" s="223"/>
      <c r="U1609" s="223"/>
      <c r="V1609" s="223"/>
    </row>
    <row r="1610" spans="2:22" ht="13.5" customHeight="1" outlineLevel="1">
      <c r="B1610" s="223" t="s">
        <v>326</v>
      </c>
      <c r="C1610" s="223"/>
      <c r="D1610" s="223"/>
      <c r="E1610" s="223"/>
      <c r="F1610" s="223"/>
      <c r="G1610" s="223"/>
      <c r="H1610" s="223"/>
      <c r="I1610" s="223"/>
      <c r="J1610" s="223"/>
      <c r="K1610" s="223"/>
      <c r="L1610" s="223"/>
      <c r="M1610" s="285">
        <f t="shared" ref="M1610:V1610" ca="1" si="1533">M$1541*$H1500*M$1520</f>
        <v>0</v>
      </c>
      <c r="N1610" s="285">
        <f t="shared" ca="1" si="1533"/>
        <v>0</v>
      </c>
      <c r="O1610" s="285">
        <f t="shared" ca="1" si="1533"/>
        <v>0</v>
      </c>
      <c r="P1610" s="285">
        <f t="shared" ca="1" si="1533"/>
        <v>1000.3637170059476</v>
      </c>
      <c r="Q1610" s="285">
        <f t="shared" ca="1" si="1533"/>
        <v>0</v>
      </c>
      <c r="R1610" s="285">
        <f t="shared" ca="1" si="1533"/>
        <v>0</v>
      </c>
      <c r="S1610" s="285">
        <f t="shared" ca="1" si="1533"/>
        <v>0</v>
      </c>
      <c r="T1610" s="285">
        <f t="shared" ca="1" si="1533"/>
        <v>0</v>
      </c>
      <c r="U1610" s="285">
        <f t="shared" ca="1" si="1533"/>
        <v>0</v>
      </c>
      <c r="V1610" s="285">
        <f t="shared" ca="1" si="1533"/>
        <v>0</v>
      </c>
    </row>
    <row r="1611" spans="2:22" ht="13.5" customHeight="1" outlineLevel="1">
      <c r="B1611" s="279" t="s">
        <v>327</v>
      </c>
      <c r="C1611" s="483"/>
      <c r="D1611" s="483"/>
      <c r="E1611" s="483"/>
      <c r="F1611" s="484"/>
      <c r="G1611" s="484"/>
      <c r="H1611" s="484"/>
      <c r="I1611" s="279"/>
      <c r="J1611" s="279"/>
      <c r="K1611" s="279"/>
      <c r="L1611" s="281">
        <f t="shared" ref="L1611:V1611" ca="1" si="1534">SUM(L1609:L1610)</f>
        <v>-520.71831193147796</v>
      </c>
      <c r="M1611" s="281">
        <f t="shared" ca="1" si="1534"/>
        <v>0</v>
      </c>
      <c r="N1611" s="281">
        <f t="shared" ca="1" si="1534"/>
        <v>0</v>
      </c>
      <c r="O1611" s="281">
        <f t="shared" ca="1" si="1534"/>
        <v>0</v>
      </c>
      <c r="P1611" s="281">
        <f t="shared" ca="1" si="1534"/>
        <v>1000.3637170059476</v>
      </c>
      <c r="Q1611" s="281">
        <f t="shared" ca="1" si="1534"/>
        <v>0</v>
      </c>
      <c r="R1611" s="281">
        <f t="shared" ca="1" si="1534"/>
        <v>0</v>
      </c>
      <c r="S1611" s="281">
        <f t="shared" ca="1" si="1534"/>
        <v>0</v>
      </c>
      <c r="T1611" s="281">
        <f t="shared" ca="1" si="1534"/>
        <v>0</v>
      </c>
      <c r="U1611" s="281">
        <f t="shared" ca="1" si="1534"/>
        <v>0</v>
      </c>
      <c r="V1611" s="281">
        <f t="shared" ca="1" si="1534"/>
        <v>0</v>
      </c>
    </row>
    <row r="1612" spans="2:22" ht="5.0999999999999996" customHeight="1" outlineLevel="1">
      <c r="B1612" s="223"/>
      <c r="C1612" s="485"/>
      <c r="D1612" s="485"/>
      <c r="E1612" s="485"/>
      <c r="F1612" s="486"/>
      <c r="G1612" s="486"/>
      <c r="H1612" s="486"/>
      <c r="I1612" s="223"/>
      <c r="J1612" s="223"/>
      <c r="K1612" s="223"/>
      <c r="L1612" s="214"/>
      <c r="M1612" s="214"/>
      <c r="N1612" s="214"/>
      <c r="O1612" s="214"/>
      <c r="P1612" s="214"/>
      <c r="Q1612" s="214"/>
      <c r="R1612" s="214"/>
      <c r="S1612" s="214"/>
      <c r="T1612" s="214"/>
      <c r="U1612" s="214"/>
      <c r="V1612" s="214"/>
    </row>
    <row r="1613" spans="2:22" ht="13.5" customHeight="1" outlineLevel="1">
      <c r="B1613" s="487" t="s">
        <v>418</v>
      </c>
      <c r="C1613" s="495">
        <f ca="1">IFERROR(XIRR(L1611:V1611,L$1518:V$1518),0)</f>
        <v>0.19014775156974789</v>
      </c>
      <c r="D1613" s="223"/>
      <c r="E1613" s="223"/>
      <c r="F1613" s="223"/>
      <c r="G1613" s="223"/>
      <c r="H1613" s="223"/>
      <c r="I1613" s="223"/>
      <c r="J1613" s="223"/>
      <c r="K1613" s="500"/>
      <c r="L1613" s="500"/>
      <c r="M1613" s="490"/>
      <c r="N1613" s="490"/>
      <c r="O1613" s="490"/>
      <c r="P1613" s="490"/>
      <c r="Q1613" s="490"/>
      <c r="R1613" s="490"/>
      <c r="S1613" s="490"/>
      <c r="T1613" s="490"/>
      <c r="U1613" s="490"/>
      <c r="V1613" s="490"/>
    </row>
    <row r="1614" spans="2:22" ht="13.5" customHeight="1" outlineLevel="1">
      <c r="B1614" s="491" t="s">
        <v>417</v>
      </c>
      <c r="C1614" s="492">
        <f ca="1">IFERROR(-SUM(M1611:V1611)/L1611,"NA")</f>
        <v>1.9211225994633099</v>
      </c>
      <c r="D1614" s="186"/>
      <c r="E1614" s="186"/>
      <c r="F1614" s="186"/>
      <c r="G1614" s="186"/>
      <c r="H1614" s="186"/>
      <c r="I1614" s="186"/>
      <c r="J1614" s="186"/>
      <c r="K1614" s="489"/>
      <c r="L1614" s="489"/>
      <c r="M1614" s="490"/>
      <c r="N1614" s="490"/>
      <c r="O1614" s="490"/>
      <c r="P1614" s="490"/>
      <c r="Q1614" s="490"/>
      <c r="R1614" s="490"/>
      <c r="S1614" s="490"/>
      <c r="T1614" s="490"/>
      <c r="U1614" s="490"/>
      <c r="V1614" s="490"/>
    </row>
    <row r="1615" spans="2:22" ht="5.0999999999999996" customHeight="1" outlineLevel="1" thickBot="1">
      <c r="B1615" s="493"/>
      <c r="C1615" s="152"/>
      <c r="D1615" s="152"/>
      <c r="E1615" s="152"/>
      <c r="F1615" s="494"/>
      <c r="G1615" s="494"/>
      <c r="H1615" s="494"/>
      <c r="I1615" s="152"/>
      <c r="J1615" s="152"/>
      <c r="K1615" s="152"/>
      <c r="L1615" s="152"/>
      <c r="M1615" s="152"/>
      <c r="N1615" s="152"/>
      <c r="O1615" s="152"/>
      <c r="P1615" s="152"/>
      <c r="Q1615" s="152"/>
      <c r="R1615" s="152"/>
      <c r="S1615" s="152"/>
      <c r="T1615" s="152"/>
      <c r="U1615" s="152"/>
      <c r="V1615" s="152"/>
    </row>
    <row r="1616" spans="2:22" ht="13.5" customHeight="1" outlineLevel="1">
      <c r="O1616" s="498"/>
    </row>
    <row r="1617" spans="2:22" ht="13.5" customHeight="1" outlineLevel="1">
      <c r="B1617" s="273" t="s">
        <v>416</v>
      </c>
      <c r="C1617" s="274"/>
      <c r="D1617" s="274"/>
      <c r="E1617" s="274"/>
      <c r="F1617" s="274"/>
      <c r="G1617" s="274"/>
      <c r="H1617" s="274"/>
      <c r="I1617" s="274"/>
      <c r="J1617" s="274"/>
      <c r="K1617" s="274"/>
      <c r="L1617" s="274"/>
      <c r="M1617" s="480"/>
      <c r="N1617" s="480"/>
      <c r="O1617" s="480"/>
      <c r="P1617" s="480"/>
      <c r="Q1617" s="480"/>
      <c r="R1617" s="480"/>
      <c r="S1617" s="480"/>
      <c r="T1617" s="480"/>
      <c r="U1617" s="480"/>
      <c r="V1617" s="480"/>
    </row>
    <row r="1618" spans="2:22" ht="13.5" customHeight="1" outlineLevel="1">
      <c r="B1618" s="223" t="s">
        <v>324</v>
      </c>
      <c r="C1618" s="223"/>
      <c r="D1618" s="223"/>
      <c r="E1618" s="223"/>
      <c r="F1618" s="223"/>
      <c r="G1618" s="223"/>
      <c r="H1618" s="223"/>
      <c r="I1618" s="223"/>
      <c r="J1618" s="223"/>
      <c r="K1618" s="223"/>
      <c r="L1618" s="285">
        <f>-M1265</f>
        <v>-10</v>
      </c>
      <c r="M1618" s="223"/>
      <c r="N1618" s="223"/>
      <c r="O1618" s="499"/>
      <c r="P1618" s="223"/>
      <c r="Q1618" s="223"/>
      <c r="R1618" s="223"/>
      <c r="S1618" s="223"/>
      <c r="T1618" s="223"/>
      <c r="U1618" s="223"/>
      <c r="V1618" s="223"/>
    </row>
    <row r="1619" spans="2:22" ht="13.5" customHeight="1" outlineLevel="1">
      <c r="B1619" s="223" t="s">
        <v>326</v>
      </c>
      <c r="C1619" s="223"/>
      <c r="D1619" s="223"/>
      <c r="E1619" s="223"/>
      <c r="F1619" s="223"/>
      <c r="G1619" s="223"/>
      <c r="H1619" s="223"/>
      <c r="I1619" s="223"/>
      <c r="J1619" s="223"/>
      <c r="K1619" s="223"/>
      <c r="L1619" s="223"/>
      <c r="M1619" s="285">
        <f t="shared" ref="M1619:V1619" ca="1" si="1535">M$1541*($H1501+$H1513)*M$1520</f>
        <v>0</v>
      </c>
      <c r="N1619" s="285">
        <f t="shared" ca="1" si="1535"/>
        <v>0</v>
      </c>
      <c r="O1619" s="285">
        <f t="shared" ca="1" si="1535"/>
        <v>0</v>
      </c>
      <c r="P1619" s="285">
        <f t="shared" ca="1" si="1535"/>
        <v>24.452650215484567</v>
      </c>
      <c r="Q1619" s="285">
        <f t="shared" ca="1" si="1535"/>
        <v>0</v>
      </c>
      <c r="R1619" s="285">
        <f t="shared" ca="1" si="1535"/>
        <v>0</v>
      </c>
      <c r="S1619" s="285">
        <f t="shared" ca="1" si="1535"/>
        <v>0</v>
      </c>
      <c r="T1619" s="285">
        <f t="shared" ca="1" si="1535"/>
        <v>0</v>
      </c>
      <c r="U1619" s="285">
        <f t="shared" ca="1" si="1535"/>
        <v>0</v>
      </c>
      <c r="V1619" s="285">
        <f t="shared" ca="1" si="1535"/>
        <v>0</v>
      </c>
    </row>
    <row r="1620" spans="2:22" ht="13.5" customHeight="1" outlineLevel="1">
      <c r="B1620" s="279" t="s">
        <v>327</v>
      </c>
      <c r="C1620" s="483"/>
      <c r="D1620" s="483"/>
      <c r="E1620" s="483"/>
      <c r="F1620" s="484"/>
      <c r="G1620" s="484"/>
      <c r="H1620" s="484"/>
      <c r="I1620" s="279"/>
      <c r="J1620" s="279"/>
      <c r="K1620" s="279"/>
      <c r="L1620" s="281">
        <f t="shared" ref="L1620:V1620" si="1536">SUM(L1618:L1619)</f>
        <v>-10</v>
      </c>
      <c r="M1620" s="281">
        <f t="shared" ca="1" si="1536"/>
        <v>0</v>
      </c>
      <c r="N1620" s="281">
        <f t="shared" ca="1" si="1536"/>
        <v>0</v>
      </c>
      <c r="O1620" s="281">
        <f t="shared" ca="1" si="1536"/>
        <v>0</v>
      </c>
      <c r="P1620" s="281">
        <f t="shared" ca="1" si="1536"/>
        <v>24.452650215484567</v>
      </c>
      <c r="Q1620" s="281">
        <f t="shared" ca="1" si="1536"/>
        <v>0</v>
      </c>
      <c r="R1620" s="281">
        <f t="shared" ca="1" si="1536"/>
        <v>0</v>
      </c>
      <c r="S1620" s="281">
        <f t="shared" ca="1" si="1536"/>
        <v>0</v>
      </c>
      <c r="T1620" s="281">
        <f t="shared" ca="1" si="1536"/>
        <v>0</v>
      </c>
      <c r="U1620" s="281">
        <f t="shared" ca="1" si="1536"/>
        <v>0</v>
      </c>
      <c r="V1620" s="281">
        <f t="shared" ca="1" si="1536"/>
        <v>0</v>
      </c>
    </row>
    <row r="1621" spans="2:22" ht="5.0999999999999996" customHeight="1" outlineLevel="1">
      <c r="B1621" s="223"/>
      <c r="C1621" s="485"/>
      <c r="D1621" s="485"/>
      <c r="E1621" s="485"/>
      <c r="F1621" s="486"/>
      <c r="G1621" s="486"/>
      <c r="H1621" s="486"/>
      <c r="I1621" s="223"/>
      <c r="J1621" s="223"/>
      <c r="K1621" s="223"/>
      <c r="L1621" s="214"/>
      <c r="M1621" s="214"/>
      <c r="N1621" s="214"/>
      <c r="O1621" s="214"/>
      <c r="P1621" s="214"/>
      <c r="Q1621" s="214"/>
      <c r="R1621" s="214"/>
      <c r="S1621" s="214"/>
      <c r="T1621" s="214"/>
      <c r="U1621" s="214"/>
      <c r="V1621" s="214"/>
    </row>
    <row r="1622" spans="2:22" ht="13.5" customHeight="1" outlineLevel="1">
      <c r="B1622" s="487" t="s">
        <v>418</v>
      </c>
      <c r="C1622" s="495">
        <f ca="1">IFERROR(XIRR(L1620:V1620,L$1518:V$1518),0)</f>
        <v>0.26921346783638</v>
      </c>
      <c r="D1622" s="223"/>
      <c r="E1622" s="223"/>
      <c r="F1622" s="223"/>
      <c r="G1622" s="223"/>
      <c r="H1622" s="223"/>
      <c r="I1622" s="223"/>
      <c r="J1622" s="223"/>
      <c r="K1622" s="500"/>
      <c r="L1622" s="500"/>
      <c r="M1622" s="490"/>
      <c r="N1622" s="490"/>
      <c r="O1622" s="490"/>
      <c r="P1622" s="490"/>
      <c r="Q1622" s="490"/>
      <c r="R1622" s="490"/>
      <c r="S1622" s="490"/>
      <c r="T1622" s="490"/>
      <c r="U1622" s="490"/>
      <c r="V1622" s="490"/>
    </row>
    <row r="1623" spans="2:22" ht="13.5" customHeight="1" outlineLevel="1">
      <c r="B1623" s="491" t="s">
        <v>417</v>
      </c>
      <c r="C1623" s="492">
        <f ca="1">IFERROR(-SUM(M1620:V1620)/L1620,"NA")</f>
        <v>2.4452650215484568</v>
      </c>
      <c r="D1623" s="186"/>
      <c r="E1623" s="186"/>
      <c r="F1623" s="186"/>
      <c r="G1623" s="186"/>
      <c r="H1623" s="186"/>
      <c r="I1623" s="186"/>
      <c r="J1623" s="186"/>
      <c r="K1623" s="489"/>
      <c r="L1623" s="489"/>
      <c r="M1623" s="490"/>
      <c r="N1623" s="490"/>
      <c r="O1623" s="490"/>
      <c r="P1623" s="490"/>
      <c r="Q1623" s="490"/>
      <c r="R1623" s="490"/>
      <c r="S1623" s="490"/>
      <c r="T1623" s="490"/>
      <c r="U1623" s="490"/>
      <c r="V1623" s="490"/>
    </row>
    <row r="1624" spans="2:22" ht="5.0999999999999996" customHeight="1" outlineLevel="1" thickBot="1">
      <c r="B1624" s="152"/>
      <c r="C1624" s="152"/>
      <c r="D1624" s="152"/>
      <c r="E1624" s="152"/>
      <c r="F1624" s="152"/>
      <c r="G1624" s="152"/>
      <c r="H1624" s="152"/>
      <c r="I1624" s="152"/>
      <c r="J1624" s="152"/>
      <c r="K1624" s="152"/>
      <c r="L1624" s="152"/>
      <c r="M1624" s="152"/>
      <c r="N1624" s="152"/>
      <c r="O1624" s="152"/>
      <c r="P1624" s="152"/>
      <c r="Q1624" s="152"/>
      <c r="R1624" s="152"/>
      <c r="S1624" s="152"/>
      <c r="T1624" s="152"/>
      <c r="U1624" s="152"/>
      <c r="V1624" s="152"/>
    </row>
    <row r="1625" spans="2:22" collapsed="1"/>
  </sheetData>
  <phoneticPr fontId="4" type="noConversion"/>
  <conditionalFormatting sqref="J317:J323">
    <cfRule type="cellIs" dxfId="2" priority="1" stopIfTrue="1" operator="greaterThan">
      <formula>1</formula>
    </cfRule>
    <cfRule type="cellIs" dxfId="1" priority="2" stopIfTrue="1" operator="between">
      <formula>0.00001</formula>
      <formula>0.99999</formula>
    </cfRule>
    <cfRule type="cellIs" dxfId="0" priority="3" stopIfTrue="1" operator="lessThan">
      <formula>0</formula>
    </cfRule>
  </conditionalFormatting>
  <dataValidations disablePrompts="1" count="8">
    <dataValidation type="whole" operator="greaterThanOrEqual" showInputMessage="1" showErrorMessage="1" sqref="K11" xr:uid="{00000000-0002-0000-0100-000000000000}">
      <formula1>1</formula1>
    </dataValidation>
    <dataValidation type="whole" allowBlank="1" showInputMessage="1" showErrorMessage="1" errorTitle="Validation Error" error="You must input either a 0 or 1." sqref="P41" xr:uid="{00000000-0002-0000-0100-000001000000}">
      <formula1>1</formula1>
      <formula2>3</formula2>
    </dataValidation>
    <dataValidation type="whole" showInputMessage="1" showErrorMessage="1" errorTitle="Validation Error" error="Enter either 0 or 1." sqref="N1315 R1319 H1312 G1300:H1311 H1320" xr:uid="{00000000-0002-0000-0100-000002000000}">
      <formula1>0</formula1>
      <formula2>1</formula2>
    </dataValidation>
    <dataValidation type="whole" allowBlank="1" showInputMessage="1" showErrorMessage="1" errorTitle="Validation Error" error="Enter either a 0 or 1." sqref="J322:J323" xr:uid="{00000000-0002-0000-0100-000003000000}">
      <formula1>0</formula1>
      <formula2>1</formula2>
    </dataValidation>
    <dataValidation type="whole" allowBlank="1" showInputMessage="1" showErrorMessage="1" sqref="P50" xr:uid="{00000000-0002-0000-0100-000004000000}">
      <formula1>1</formula1>
      <formula2>2</formula2>
    </dataValidation>
    <dataValidation type="whole" allowBlank="1" showInputMessage="1" showErrorMessage="1" sqref="E417 E45:E50" xr:uid="{00000000-0002-0000-0100-000005000000}">
      <formula1>0</formula1>
      <formula2>1</formula2>
    </dataValidation>
    <dataValidation operator="equal" allowBlank="1" sqref="Q1300:Q1311" xr:uid="{00000000-0002-0000-0100-000006000000}"/>
    <dataValidation errorTitle="Validation Error" error="Enter either 0 or 1." sqref="M1312:T1312" xr:uid="{00000000-0002-0000-0100-000007000000}"/>
  </dataValidations>
  <hyperlinks>
    <hyperlink ref="V56" r:id="rId1" xr:uid="{00000000-0004-0000-0100-000000000000}"/>
    <hyperlink ref="V55" r:id="rId2" xr:uid="{00000000-0004-0000-0100-000001000000}"/>
  </hyperlinks>
  <pageMargins left="0.75" right="0.75" top="1" bottom="1" header="0.5" footer="0.5"/>
  <pageSetup orientation="portrait" r:id="rId3"/>
  <headerFooter alignWithMargins="0"/>
  <drawing r:id="rId4"/>
  <legacy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12</vt:i4>
      </vt:variant>
    </vt:vector>
  </HeadingPairs>
  <TitlesOfParts>
    <vt:vector size="14" baseType="lpstr">
      <vt:lpstr>Cover Page</vt:lpstr>
      <vt:lpstr>LBO</vt:lpstr>
      <vt:lpstr>avg_int</vt:lpstr>
      <vt:lpstr>close</vt:lpstr>
      <vt:lpstr>err_msg</vt:lpstr>
      <vt:lpstr>exit_year</vt:lpstr>
      <vt:lpstr>goodwill</vt:lpstr>
      <vt:lpstr>LBO</vt:lpstr>
      <vt:lpstr>op_case</vt:lpstr>
      <vt:lpstr>'Cover Page'!Print_Area</vt:lpstr>
      <vt:lpstr>revolver</vt:lpstr>
      <vt:lpstr>scenario</vt:lpstr>
      <vt:lpstr>sponsor_fee</vt:lpstr>
      <vt:lpstr>tax</vt:lpstr>
    </vt:vector>
  </TitlesOfParts>
  <Company>Macabacus, LLC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Ryan MacGregor</dc:creator>
  <cp:lastModifiedBy>Corporate Finance Institute</cp:lastModifiedBy>
  <dcterms:created xsi:type="dcterms:W3CDTF">2008-10-06T18:34:59Z</dcterms:created>
  <dcterms:modified xsi:type="dcterms:W3CDTF">2023-01-31T17:42:56Z</dcterms:modified>
</cp:coreProperties>
</file>