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780" activeTab="0"/>
  </bookViews>
  <sheets>
    <sheet name="LBO" sheetId="1" r:id="rId1"/>
    <sheet name="Target P&amp;L" sheetId="2" r:id="rId2"/>
  </sheets>
  <definedNames>
    <definedName name="avg_int">'LBO'!$Q$29</definedName>
    <definedName name="curr_date">'LBO'!$Y$37</definedName>
    <definedName name="depr">'LBO'!$B$196</definedName>
    <definedName name="err_msg">'LBO'!#REF!</definedName>
    <definedName name="fin_case">'LBO'!$Q$42</definedName>
    <definedName name="fye">'LBO'!$Y$35</definedName>
    <definedName name="goodwill">'LBO'!$AI$27</definedName>
    <definedName name="LBO">'LBO'!$S$389</definedName>
    <definedName name="libor">'LBO'!$Q$26</definedName>
    <definedName name="ltm_date">'LBO'!$Y$36</definedName>
    <definedName name="ltm_ebitda">'LBO'!$M$60</definedName>
    <definedName name="min_cash">'LBO'!$Q$37</definedName>
    <definedName name="op_case">'LBO'!$Y$27</definedName>
    <definedName name="refi">'LBO'!$Q$33</definedName>
    <definedName name="revolver">'LBO'!$Q$38</definedName>
    <definedName name="stub">'LBO'!$Y$41</definedName>
    <definedName name="tax_rate">'LBO'!$AI$11</definedName>
    <definedName name="tgt">'LBO'!$AI$35</definedName>
    <definedName name="trans_price">'LBO'!$Y$8</definedName>
    <definedName name="treas">'LBO'!$Q$27</definedName>
  </definedNames>
  <calcPr calcMode="autoNoTable" fullCalcOnLoad="1" iterate="1" iterateCount="1000" iterateDelta="0.001"/>
</workbook>
</file>

<file path=xl/comments1.xml><?xml version="1.0" encoding="utf-8"?>
<comments xmlns="http://schemas.openxmlformats.org/spreadsheetml/2006/main">
  <authors>
    <author>Ryan MacGregor</author>
  </authors>
  <commentList>
    <comment ref="Y38" authorId="0">
      <text>
        <r>
          <rPr>
            <sz val="8"/>
            <color indexed="8"/>
            <rFont val="Tahoma"/>
            <family val="0"/>
          </rPr>
          <t>Closing date should be no more than 12 months from the last FYE or model will break.</t>
        </r>
      </text>
    </comment>
    <comment ref="Y40" authorId="0">
      <text>
        <r>
          <rPr>
            <sz val="8"/>
            <color indexed="8"/>
            <rFont val="Tahoma"/>
            <family val="0"/>
          </rPr>
          <t>This should never be less than zero.</t>
        </r>
      </text>
    </comment>
    <comment ref="A55" authorId="0">
      <text>
        <r>
          <rPr>
            <sz val="8"/>
            <color indexed="8"/>
            <rFont val="Tahoma"/>
            <family val="0"/>
          </rPr>
          <t>Does not include stock-based compensation expense.</t>
        </r>
      </text>
    </comment>
    <comment ref="S54" authorId="0">
      <text>
        <r>
          <rPr>
            <sz val="8"/>
            <rFont val="Tahoma"/>
            <family val="2"/>
          </rPr>
          <t>Assume synergies are not realized until Year 2.</t>
        </r>
      </text>
    </comment>
    <comment ref="S56" authorId="0">
      <text>
        <r>
          <rPr>
            <sz val="8"/>
            <rFont val="Tahoma"/>
            <family val="2"/>
          </rPr>
          <t>Assume synergies are not realized until Year 2.</t>
        </r>
      </text>
    </comment>
    <comment ref="AK48" authorId="0">
      <text>
        <r>
          <rPr>
            <sz val="8"/>
            <color indexed="8"/>
            <rFont val="Tahoma"/>
            <family val="0"/>
          </rPr>
          <t>Source:  10-Q dated 3/31/2008.</t>
        </r>
      </text>
    </comment>
    <comment ref="AM48" authorId="0">
      <text>
        <r>
          <rPr>
            <sz val="8"/>
            <color indexed="8"/>
            <rFont val="Tahoma"/>
            <family val="0"/>
          </rPr>
          <t>Source:  10-Q dated 3/31/2008.</t>
        </r>
      </text>
    </comment>
    <comment ref="B123" authorId="0">
      <text>
        <r>
          <rPr>
            <sz val="8"/>
            <color indexed="8"/>
            <rFont val="Tahoma"/>
            <family val="0"/>
          </rPr>
          <t>This DTA does not include NOLs.  Any NOLs are reflected in the long-term DTA below.</t>
        </r>
      </text>
    </comment>
    <comment ref="B147" authorId="0">
      <text>
        <r>
          <rPr>
            <sz val="8"/>
            <color indexed="8"/>
            <rFont val="Tahoma"/>
            <family val="0"/>
          </rPr>
          <t>Any DTAs related to NOLs are included here as a negative DTL.</t>
        </r>
      </text>
    </comment>
    <comment ref="AQ30" authorId="0">
      <text>
        <r>
          <rPr>
            <sz val="8"/>
            <color indexed="8"/>
            <rFont val="Tahoma"/>
            <family val="0"/>
          </rPr>
          <t>Includes current portion of long-term debt.</t>
        </r>
      </text>
    </comment>
    <comment ref="Q38" authorId="0">
      <text>
        <r>
          <rPr>
            <sz val="8"/>
            <color indexed="8"/>
            <rFont val="Tahoma"/>
            <family val="0"/>
          </rPr>
          <t>This is the size of the revolving credit facility to which the bank has committed.</t>
        </r>
      </text>
    </comment>
    <comment ref="B163" authorId="0">
      <text>
        <r>
          <rPr>
            <sz val="8"/>
            <color indexed="8"/>
            <rFont val="Tahoma"/>
            <family val="0"/>
          </rPr>
          <t>Under the new FAS 141r accounting rules, effective 12/15/2008, non-controlling interest now resides in the shareholders' equity section of the balance sheet.</t>
        </r>
      </text>
    </comment>
    <comment ref="K202" authorId="0">
      <text>
        <r>
          <rPr>
            <sz val="8"/>
            <color indexed="8"/>
            <rFont val="Tahoma"/>
            <family val="0"/>
          </rPr>
          <t>This is the year in which the debt (or majority of the debt) must be repaid.</t>
        </r>
      </text>
    </comment>
    <comment ref="M202" authorId="0">
      <text>
        <r>
          <rPr>
            <sz val="8"/>
            <color indexed="8"/>
            <rFont val="Tahoma"/>
            <family val="0"/>
          </rPr>
          <t>With some forms of junior debt and preferred stock, interest and dividend payments may be made "in-kind", meaning that rather than paying interest or dividends with cash, TargetCo may instead pay with additional amounts of debt or preferred stock, as applicable, that increase the face value of these securities.  Payment-in-kind ("PIK") is often structured so that TargetCo has the option to pay either cash or in-kind for the first few years, after which all interest payments and dividends must be paid in cash.  TargetCo will often elect to pay in-kind whenever possible to conserve cash.  Whether such payments are made in-kind or in cash, the interest expense or dividend payments appear in full on the income statement.  Any amounts paid in-kind are added back to net income on the cash flow statement since no cash was actually paid.  We assume here that any years PIK are measured from the date the deal closes.</t>
        </r>
      </text>
    </comment>
    <comment ref="G202" authorId="0">
      <text>
        <r>
          <rPr>
            <sz val="8"/>
            <rFont val="Tahoma"/>
            <family val="2"/>
          </rPr>
          <t>Percent amortization per year</t>
        </r>
      </text>
    </comment>
    <comment ref="I420" authorId="0">
      <text>
        <r>
          <rPr>
            <sz val="8"/>
            <color indexed="8"/>
            <rFont val="Tahoma"/>
            <family val="0"/>
          </rPr>
          <t>Since the revolver does not amortize, use the period over which the bank has committed the funds.</t>
        </r>
      </text>
    </comment>
    <comment ref="AI17" authorId="0">
      <text>
        <r>
          <rPr>
            <sz val="8"/>
            <color indexed="8"/>
            <rFont val="Tahoma"/>
            <family val="0"/>
          </rPr>
          <t>Under FAS 141r, effective 12/15/2008, expensed transaction and advisory fees are no longer included in the purchase price calculation.</t>
        </r>
      </text>
    </comment>
    <comment ref="AG26" authorId="0">
      <text>
        <r>
          <rPr>
            <sz val="8"/>
            <rFont val="Tahoma"/>
            <family val="2"/>
          </rPr>
          <t>Assumes that the pre-transaction recorded values of PP&amp;E and intangibles are the same for book and tax since DTL = (FMV - tax basis) * tax rate.</t>
        </r>
      </text>
    </comment>
    <comment ref="M279" authorId="0">
      <text>
        <r>
          <rPr>
            <sz val="8"/>
            <color indexed="8"/>
            <rFont val="Tahoma"/>
            <family val="0"/>
          </rPr>
          <t>Section 197 intangibles are always amortized over 15 years for tax purposes in an asset acquisition.  Section 197 intangibles include goodwill.</t>
        </r>
      </text>
    </comment>
    <comment ref="K285" authorId="0">
      <text>
        <r>
          <rPr>
            <sz val="8"/>
            <color indexed="8"/>
            <rFont val="Tahoma"/>
            <family val="0"/>
          </rPr>
          <t>Goodwill is not amortized for book purposes but, rather, tested for impairment.</t>
        </r>
      </text>
    </comment>
    <comment ref="M289" authorId="0">
      <text>
        <r>
          <rPr>
            <sz val="8"/>
            <color indexed="8"/>
            <rFont val="Tahoma"/>
            <family val="0"/>
          </rPr>
          <t>PP&amp;E is often depreciated fasster for tax purposes than for book purposes using MACRS because the PV of the tax savings is greater.</t>
        </r>
      </text>
    </comment>
    <comment ref="K140" authorId="0">
      <text>
        <r>
          <rPr>
            <sz val="8"/>
            <rFont val="Tahoma"/>
            <family val="2"/>
          </rPr>
          <t>If existing debt is refinanced, short-term debt goes to zero.  If not, short-term debt is rolled into long-term debt for simplicity.  Therefore, we eliminate short-term debt regardless of whether or not the existing debt is refinanced.</t>
        </r>
      </text>
    </comment>
    <comment ref="K152" authorId="0">
      <text>
        <r>
          <rPr>
            <sz val="8"/>
            <rFont val="Tahoma"/>
            <family val="2"/>
          </rPr>
          <t>Combine short-term debt and long-term debt if not refinanced to simplify the model.  We will ignore the current portion of long-term debt going forward.</t>
        </r>
      </text>
    </comment>
    <comment ref="M171" authorId="0">
      <text>
        <r>
          <rPr>
            <sz val="8"/>
            <rFont val="Tahoma"/>
            <family val="2"/>
          </rPr>
          <t>Under the old FAS 141 accounting rules, this amount would have been included in the purchase price calculation and increased goodwill, rather than expensed immiediately as shown here.</t>
        </r>
      </text>
    </comment>
    <comment ref="G241" authorId="0">
      <text>
        <r>
          <rPr>
            <sz val="8"/>
            <color indexed="8"/>
            <rFont val="Tahoma"/>
            <family val="0"/>
          </rPr>
          <t>Gross</t>
        </r>
      </text>
    </comment>
    <comment ref="I241" authorId="0">
      <text>
        <r>
          <rPr>
            <sz val="8"/>
            <color indexed="8"/>
            <rFont val="Tahoma"/>
            <family val="0"/>
          </rPr>
          <t>Average remaining useful life in years for all assets in each class.</t>
        </r>
      </text>
    </comment>
    <comment ref="Q98" authorId="0">
      <text>
        <r>
          <rPr>
            <sz val="8"/>
            <rFont val="Tahoma"/>
            <family val="2"/>
          </rPr>
          <t>Note that transaction fees and expenses are expensed in the current period, in accordance with our prior assumptions.</t>
        </r>
      </text>
    </comment>
    <comment ref="A110" authorId="0">
      <text>
        <r>
          <rPr>
            <sz val="8"/>
            <color indexed="8"/>
            <rFont val="Tahoma"/>
            <family val="0"/>
          </rPr>
          <t>This is the amount that accrues to non-controlling (minority) parties with stakes in one or more of TargetCo's subsidiaries.</t>
        </r>
      </text>
    </comment>
    <comment ref="AA110" authorId="0">
      <text>
        <r>
          <rPr>
            <sz val="8"/>
            <color indexed="8"/>
            <rFont val="Tahoma"/>
            <family val="0"/>
          </rPr>
          <t>Assume minortity interest remains a constant percent of sales. Technically, this isn't a very good assumption because the minority shareholders would likely own only a stake in one or more subsidiaries of TargetCo, rather than consolidated TargetCo.  It would be better to compute minority interest as a percent of the subsidiary's sales alone.  Without detailed subsidiary financial results, however, this is the best we can do.</t>
        </r>
      </text>
    </comment>
    <comment ref="A298" authorId="0">
      <text>
        <r>
          <rPr>
            <sz val="8"/>
            <color indexed="8"/>
            <rFont val="Tahoma"/>
            <family val="0"/>
          </rPr>
          <t>We separate the pre-deal and post-deal NOLs because the use of pre-deal NOLs are subject to imitation under IRC Sec. 382 if they survive the transaction, while post-deal NOLs havae no such restrictions.</t>
        </r>
      </text>
    </comment>
    <comment ref="I294" authorId="0">
      <text>
        <r>
          <rPr>
            <sz val="8"/>
            <color indexed="8"/>
            <rFont val="Tahoma"/>
            <family val="0"/>
          </rPr>
          <t>Source:  IRS web site.</t>
        </r>
      </text>
    </comment>
    <comment ref="M294" authorId="0">
      <text>
        <r>
          <rPr>
            <sz val="8"/>
            <color indexed="8"/>
            <rFont val="Tahoma"/>
            <family val="0"/>
          </rPr>
          <t>Year until the target's NOLs expire.</t>
        </r>
      </text>
    </comment>
    <comment ref="B309" authorId="0">
      <text>
        <r>
          <rPr>
            <sz val="8"/>
            <color indexed="8"/>
            <rFont val="Tahoma"/>
            <family val="0"/>
          </rPr>
          <t>Assumes no carrybacks to simplify the model.</t>
        </r>
      </text>
    </comment>
    <comment ref="B313" authorId="0">
      <text>
        <r>
          <rPr>
            <sz val="8"/>
            <color indexed="8"/>
            <rFont val="Tahoma"/>
            <family val="0"/>
          </rPr>
          <t xml:space="preserve">When cash taxes payable exceeds book income tax expense, a deferred tax asset (DTA) is created (analogous to a reduction in DTL) because you get a credit for paying more actual tax than your books indicate you should. </t>
        </r>
      </text>
    </comment>
    <comment ref="B299" authorId="0">
      <text>
        <r>
          <rPr>
            <sz val="8"/>
            <rFont val="Tahoma"/>
            <family val="2"/>
          </rPr>
          <t>In a stock purchase with no Sec. 338 election, the NOLs carry forward, but their use is limited under Sec. 382 as a result of a change in ownership.  This number is the annual limit on use of the target's NOLs.</t>
        </r>
      </text>
    </comment>
    <comment ref="Q302" authorId="0">
      <text>
        <r>
          <rPr>
            <sz val="8"/>
            <rFont val="Tahoma"/>
            <family val="2"/>
          </rPr>
          <t>In a transaction where there is a step-up for tax purposes, the target's NOLs do not carryforward.</t>
        </r>
      </text>
    </comment>
  </commentList>
</comments>
</file>

<file path=xl/sharedStrings.xml><?xml version="1.0" encoding="utf-8"?>
<sst xmlns="http://schemas.openxmlformats.org/spreadsheetml/2006/main" count="516" uniqueCount="372">
  <si>
    <t>($ in millions, except per share data)</t>
  </si>
  <si>
    <t>Valuation Summary</t>
  </si>
  <si>
    <t>Current Target Stock Price</t>
  </si>
  <si>
    <t>Offer Premium</t>
  </si>
  <si>
    <t>Offer Price Per Target Share</t>
  </si>
  <si>
    <t>Calendarization / Timing</t>
  </si>
  <si>
    <t>Last Fiscal Year End</t>
  </si>
  <si>
    <t>LTM End Date</t>
  </si>
  <si>
    <t>Current Date</t>
  </si>
  <si>
    <t>Expected Closing Date</t>
  </si>
  <si>
    <t>Months from Last FYE to LTM End</t>
  </si>
  <si>
    <t>Months from Closing to Next FYE</t>
  </si>
  <si>
    <t>Stub Allocation</t>
  </si>
  <si>
    <t>Model Detail</t>
  </si>
  <si>
    <t>Target Code Name</t>
  </si>
  <si>
    <t>TargetCo</t>
  </si>
  <si>
    <t>Model Created / Modified by:</t>
  </si>
  <si>
    <t>Last Modified:</t>
  </si>
  <si>
    <t>File Name:</t>
  </si>
  <si>
    <t>Chris P. Chicken</t>
  </si>
  <si>
    <t>212-555-1212</t>
  </si>
  <si>
    <t>CAGR</t>
  </si>
  <si>
    <t>Total Revenue</t>
  </si>
  <si>
    <t>% Growth</t>
  </si>
  <si>
    <t>NA</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</si>
  <si>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</si>
  <si>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</si>
  <si>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</si>
  <si>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</si>
  <si>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</si>
  <si>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</si>
  <si>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</si>
  <si>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</si>
  <si>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</si>
  <si>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</si>
  <si>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</si>
  <si>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</si>
  <si>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</si>
  <si>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</si>
  <si>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</si>
  <si>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</si>
  <si>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</si>
  <si>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</si>
  <si>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</si>
  <si>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</si>
  <si>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</si>
  <si>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</si>
  <si>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</si>
  <si>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</si>
  <si>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</si>
  <si>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</si>
  <si>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</si>
  <si>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Operating Assumptions</t>
  </si>
  <si>
    <t>Revenue Growth</t>
  </si>
  <si>
    <t>Management Case</t>
  </si>
  <si>
    <t>Analyst Case</t>
  </si>
  <si>
    <t>Downside Case</t>
  </si>
  <si>
    <t>COGS (% of Sales)</t>
  </si>
  <si>
    <t>SG&amp;A (% of Sales)</t>
  </si>
  <si>
    <t>Other (% of Sales)</t>
  </si>
  <si>
    <t>Operating Performance Drivers</t>
  </si>
  <si>
    <t>COGS Savings</t>
  </si>
  <si>
    <t>SG&amp;A Savings</t>
  </si>
  <si>
    <t>Total Savings</t>
  </si>
  <si>
    <t>Income Statement</t>
  </si>
  <si>
    <t>Net Sales</t>
  </si>
  <si>
    <t>Other</t>
  </si>
  <si>
    <t>LTM Inputs</t>
  </si>
  <si>
    <t>Ended</t>
  </si>
  <si>
    <t>LTM</t>
  </si>
  <si>
    <t>Balance Sheet</t>
  </si>
  <si>
    <t>Historical</t>
  </si>
  <si>
    <t>Adjustments</t>
  </si>
  <si>
    <t>Pro Forma</t>
  </si>
  <si>
    <t>GAAP/</t>
  </si>
  <si>
    <t>Closing</t>
  </si>
  <si>
    <t>Financing</t>
  </si>
  <si>
    <t>Assets</t>
  </si>
  <si>
    <t>Cash &amp; Equivalents</t>
  </si>
  <si>
    <t>Accounts Receivable</t>
  </si>
  <si>
    <t>Inventories</t>
  </si>
  <si>
    <t>Deferred Income Taxes</t>
  </si>
  <si>
    <t>Prepaid Expenses &amp; Other</t>
  </si>
  <si>
    <t>Total Current Assets</t>
  </si>
  <si>
    <t>PP&amp;E, gross</t>
  </si>
  <si>
    <t>(Accumluated Depreciation)</t>
  </si>
  <si>
    <t>PP&amp;E, net</t>
  </si>
  <si>
    <t>Equity Investments</t>
  </si>
  <si>
    <t>Capitalized Financing Costs</t>
  </si>
  <si>
    <t>Goodwill, net</t>
  </si>
  <si>
    <t>Intangible Assets, net</t>
  </si>
  <si>
    <t>Operating Rights, net</t>
  </si>
  <si>
    <t>Other Long-Term Assets</t>
  </si>
  <si>
    <t>Total Assets</t>
  </si>
  <si>
    <t>Liabilities</t>
  </si>
  <si>
    <t>Short-Term Debt</t>
  </si>
  <si>
    <t>Accounts Payable</t>
  </si>
  <si>
    <t>Accrued Liabilities</t>
  </si>
  <si>
    <t>Client Deposits</t>
  </si>
  <si>
    <t>Other Current Liabilities</t>
  </si>
  <si>
    <t>Total Current Liabilities</t>
  </si>
  <si>
    <t>Capital Leases</t>
  </si>
  <si>
    <t>Other Long-Term Liabilities</t>
  </si>
  <si>
    <t>Existing LT Debt (excl. current portion)</t>
  </si>
  <si>
    <t>Total Liabilities</t>
  </si>
  <si>
    <t>Shareholders' Equity</t>
  </si>
  <si>
    <t>Existing Shareholders' Equity</t>
  </si>
  <si>
    <t>Additional Paid-In Capital</t>
  </si>
  <si>
    <t>Retained Earnings</t>
  </si>
  <si>
    <t>Total Shareholders' Equity</t>
  </si>
  <si>
    <t>Liabilities &amp; S/H Equity</t>
  </si>
  <si>
    <t>Check</t>
  </si>
  <si>
    <t>Options</t>
  </si>
  <si>
    <t>Number of</t>
  </si>
  <si>
    <t>Average</t>
  </si>
  <si>
    <t>Treasury</t>
  </si>
  <si>
    <t>Options (m)</t>
  </si>
  <si>
    <t>Strike</t>
  </si>
  <si>
    <t>Shares</t>
  </si>
  <si>
    <t>Tranche 1</t>
  </si>
  <si>
    <t>Tranche 2</t>
  </si>
  <si>
    <t>Tranche 3</t>
  </si>
  <si>
    <t>Tranche 4</t>
  </si>
  <si>
    <t>Tranche 5</t>
  </si>
  <si>
    <t>Tranche 6</t>
  </si>
  <si>
    <t>Tranche 7</t>
  </si>
  <si>
    <t>Tranche 8</t>
  </si>
  <si>
    <t>Tranche 9</t>
  </si>
  <si>
    <t>Tranche 10</t>
  </si>
  <si>
    <t>Convertible Debt</t>
  </si>
  <si>
    <t>Convert 1</t>
  </si>
  <si>
    <t>Convert 2</t>
  </si>
  <si>
    <t>Face Value</t>
  </si>
  <si>
    <t>Conversion Price</t>
  </si>
  <si>
    <t>Convertible Shares</t>
  </si>
  <si>
    <t>Interest Rate</t>
  </si>
  <si>
    <t>Fully Diluted Shares Outstanding</t>
  </si>
  <si>
    <t>Basic Shares Outstanding</t>
  </si>
  <si>
    <t>Treasury Method Shares</t>
  </si>
  <si>
    <t>In-the-Money Convertible Shares</t>
  </si>
  <si>
    <t>Net Debt</t>
  </si>
  <si>
    <t>Non-Convertible Debt</t>
  </si>
  <si>
    <t>Cash &amp; Cash Equivalents</t>
  </si>
  <si>
    <t>Fully Diluted Shares Outstanding (mm)</t>
  </si>
  <si>
    <t>Equity Purchase Price</t>
  </si>
  <si>
    <t>Target Pro Forma Net Debt</t>
  </si>
  <si>
    <t>Pro Forma Enterprise Value</t>
  </si>
  <si>
    <t>Pro Forma Enterprise Value Multiples</t>
  </si>
  <si>
    <t>Metric</t>
  </si>
  <si>
    <t>Multiple</t>
  </si>
  <si>
    <t>LTM Sales</t>
  </si>
  <si>
    <t>LTM EBITDA</t>
  </si>
  <si>
    <t>Current Interest Rates</t>
  </si>
  <si>
    <t>3-Month LIBOR</t>
  </si>
  <si>
    <t>10-Year Treasury</t>
  </si>
  <si>
    <t>Interest on Excess Cash</t>
  </si>
  <si>
    <t>Refinance Target Debt</t>
  </si>
  <si>
    <t>Refinance?</t>
  </si>
  <si>
    <t>Minimum Cash / Revolver</t>
  </si>
  <si>
    <t>Minimum Cash Balance</t>
  </si>
  <si>
    <t>Total Bank Commitment</t>
  </si>
  <si>
    <t>Scenario</t>
  </si>
  <si>
    <t>Financing Case</t>
  </si>
  <si>
    <t>Transaction Fees &amp; Expenses Assumptions</t>
  </si>
  <si>
    <t>Fees (%)</t>
  </si>
  <si>
    <t>Computation Metric</t>
  </si>
  <si>
    <t>Fees ($)</t>
  </si>
  <si>
    <t>Notes / Assumptions</t>
  </si>
  <si>
    <t>M&amp;A / Sponsor Fees</t>
  </si>
  <si>
    <t>Bank Fee</t>
  </si>
  <si>
    <t>Expensed as incurred (in current period) in accordance with FAS 141r</t>
  </si>
  <si>
    <t>Sponsor Fee</t>
  </si>
  <si>
    <t>Financing Fees</t>
  </si>
  <si>
    <t>of Total Facility Size (Commitment):</t>
  </si>
  <si>
    <t>Capitalized / amortized over life of financing</t>
  </si>
  <si>
    <t>of Total Principal Amount:</t>
  </si>
  <si>
    <t>Reduction in Gross Proceeds.  Reduction in APIC.</t>
  </si>
  <si>
    <t>Other Miscellaneous Fees</t>
  </si>
  <si>
    <t>Legal</t>
  </si>
  <si>
    <t>Accounting</t>
  </si>
  <si>
    <t>Printing</t>
  </si>
  <si>
    <t>Target's Expenses</t>
  </si>
  <si>
    <t>Revolver</t>
  </si>
  <si>
    <t>Term Loan - A</t>
  </si>
  <si>
    <t>Term Loan - B</t>
  </si>
  <si>
    <t>Senior Note</t>
  </si>
  <si>
    <t>Subordinated Note</t>
  </si>
  <si>
    <t>Mezzanine</t>
  </si>
  <si>
    <t>Seller Note</t>
  </si>
  <si>
    <t>Preferred Stock - A</t>
  </si>
  <si>
    <t>Preferred Stock - B</t>
  </si>
  <si>
    <t>of Transaction Value (excl. Fees &amp; Expenses):</t>
  </si>
  <si>
    <t>Capital Structure Assumptions</t>
  </si>
  <si>
    <t>Active</t>
  </si>
  <si>
    <t>Financing Scenarios</t>
  </si>
  <si>
    <t>Case</t>
  </si>
  <si>
    <t>Description</t>
  </si>
  <si>
    <t>No deal</t>
  </si>
  <si>
    <t>Refi A</t>
  </si>
  <si>
    <t>Refi B</t>
  </si>
  <si>
    <t>LBO A</t>
  </si>
  <si>
    <t>LBO B</t>
  </si>
  <si>
    <t>LBO C</t>
  </si>
  <si>
    <t>Mult. of</t>
  </si>
  <si>
    <t>Sources of Funds</t>
  </si>
  <si>
    <t>Total Sources</t>
  </si>
  <si>
    <t>Excess Cash</t>
  </si>
  <si>
    <t>Debt Assumed</t>
  </si>
  <si>
    <t>Common - Sponsor</t>
  </si>
  <si>
    <t>Management Rollover</t>
  </si>
  <si>
    <t>Investor Rollover</t>
  </si>
  <si>
    <t>Uses of Funds</t>
  </si>
  <si>
    <t>Refinance Debt</t>
  </si>
  <si>
    <t>Tender / Call Premium</t>
  </si>
  <si>
    <t>Expensed Transaction Costs</t>
  </si>
  <si>
    <t>Total Uses</t>
  </si>
  <si>
    <t>LBO?</t>
  </si>
  <si>
    <t>Existing Shareholders</t>
  </si>
  <si>
    <t>Fund Cash Balance</t>
  </si>
  <si>
    <t>Assume Debt</t>
  </si>
  <si>
    <t>Noncontrolling (Minority) Interest</t>
  </si>
  <si>
    <t>Assume Noncontrolling Interest</t>
  </si>
  <si>
    <t>Purchase Noncontrolling Interest</t>
  </si>
  <si>
    <t>Noncontrolling Interest Assumed</t>
  </si>
  <si>
    <t>Sources &amp; Uses of Funds</t>
  </si>
  <si>
    <t>% of</t>
  </si>
  <si>
    <t>Interest</t>
  </si>
  <si>
    <t>$ mm</t>
  </si>
  <si>
    <t>Total</t>
  </si>
  <si>
    <t>Rate</t>
  </si>
  <si>
    <t>Spread</t>
  </si>
  <si>
    <t>Years</t>
  </si>
  <si>
    <t>PIK</t>
  </si>
  <si>
    <t>Debt</t>
  </si>
  <si>
    <t>Preferred</t>
  </si>
  <si>
    <t>Equity</t>
  </si>
  <si>
    <t>Other Uses</t>
  </si>
  <si>
    <t>Fees &amp; Expenses</t>
  </si>
  <si>
    <t>Assume Noncontrolling Int.</t>
  </si>
  <si>
    <t>Purchase Noncontrolling Int.</t>
  </si>
  <si>
    <t>Ending</t>
  </si>
  <si>
    <t>Debt Schedule</t>
  </si>
  <si>
    <t>LIBOR Curve</t>
  </si>
  <si>
    <t>Interest Rate Assumptions</t>
  </si>
  <si>
    <t>Assumed Debt</t>
  </si>
  <si>
    <t>Revolver Undrawn Commitment Fee</t>
  </si>
  <si>
    <t>LIBOR +</t>
  </si>
  <si>
    <t>Average Interest?</t>
  </si>
  <si>
    <t>Debt Amortization Schedule</t>
  </si>
  <si>
    <t>Beginning</t>
  </si>
  <si>
    <t>Scheduled</t>
  </si>
  <si>
    <t>Balance</t>
  </si>
  <si>
    <t>Amort.</t>
  </si>
  <si>
    <t>Prepay?</t>
  </si>
  <si>
    <t>Bullet Year</t>
  </si>
  <si>
    <t>Years PIK</t>
  </si>
  <si>
    <t>Annual</t>
  </si>
  <si>
    <t>Period</t>
  </si>
  <si>
    <t>Expense</t>
  </si>
  <si>
    <t>Amortization of Capitalized Financing Costs</t>
  </si>
  <si>
    <t>Total Annual Amortization</t>
  </si>
  <si>
    <t>Purchase Price Allocation / Goodwill</t>
  </si>
  <si>
    <t>% of Excess PP Allocated to Intangibles</t>
  </si>
  <si>
    <t>Intangibles Amortization Period (yrs)</t>
  </si>
  <si>
    <t>Fixed Asset Write-Up</t>
  </si>
  <si>
    <t>Fixed Asset Depreciation Period (yrs)</t>
  </si>
  <si>
    <t>Tax Rate</t>
  </si>
  <si>
    <t>Deal Structure (0=Stock Deal, 1=Asset Deal)</t>
  </si>
  <si>
    <t>Recap Accounting?</t>
  </si>
  <si>
    <t>Transaction Fees</t>
  </si>
  <si>
    <t>Book Value of Net Assets</t>
  </si>
  <si>
    <t>Excess Purchase Price to Allocate</t>
  </si>
  <si>
    <t>Net Asset Step-Ups:</t>
  </si>
  <si>
    <t>Indentifiable Intangibles Write-Up</t>
  </si>
  <si>
    <t>Write Off Target's Existing Goodwill</t>
  </si>
  <si>
    <t>Write Off Target's Existing DTL</t>
  </si>
  <si>
    <t>DTL from Asset Write-Ups</t>
  </si>
  <si>
    <t>Goodwill Created</t>
  </si>
  <si>
    <t>Tax Schedule</t>
  </si>
  <si>
    <t>Income Tax Rate</t>
  </si>
  <si>
    <t>Book</t>
  </si>
  <si>
    <t>Book Taxable Income</t>
  </si>
  <si>
    <t>+</t>
  </si>
  <si>
    <t>=</t>
  </si>
  <si>
    <t>Income Tax Expense</t>
  </si>
  <si>
    <t>Tax</t>
  </si>
  <si>
    <t>+ Book Amortization of Intangibles</t>
  </si>
  <si>
    <t>+ Book Amortization of Goodwill</t>
  </si>
  <si>
    <t>+ Book Depreciation</t>
  </si>
  <si>
    <t>+ Book (Gain) / Loss on Sale of Assets</t>
  </si>
  <si>
    <t>+ Non-Deductible Expenses</t>
  </si>
  <si>
    <t>- Tax Amortization of Intangibles</t>
  </si>
  <si>
    <t>- Tax Amortization of Goodwill</t>
  </si>
  <si>
    <t>- Tax Depreciation</t>
  </si>
  <si>
    <t>- Tax (Gain) / Loss on Sale of Assets</t>
  </si>
  <si>
    <t>= Pre-NOL Taxable Income</t>
  </si>
  <si>
    <t>Intangibles Amortization</t>
  </si>
  <si>
    <t xml:space="preserve">Book </t>
  </si>
  <si>
    <t xml:space="preserve">Tax </t>
  </si>
  <si>
    <t>Period (yrs)</t>
  </si>
  <si>
    <t>Goodwill Amortization</t>
  </si>
  <si>
    <t>Fixed Asset Depreciation</t>
  </si>
  <si>
    <t>Working Capital Assumptions</t>
  </si>
  <si>
    <t>Sales</t>
  </si>
  <si>
    <t>Non-Cash Current Asset Projections</t>
  </si>
  <si>
    <t>Non-Debt Current Liabilities Projections</t>
  </si>
  <si>
    <t>Net Working Capital</t>
  </si>
  <si>
    <t>Change in Net Working Capital</t>
  </si>
  <si>
    <t>Assumptions</t>
  </si>
  <si>
    <t>Method</t>
  </si>
  <si>
    <t>% of COGS</t>
  </si>
  <si>
    <t>Book Depreciation Schedule</t>
  </si>
  <si>
    <t>Existing Fixed Assets</t>
  </si>
  <si>
    <t>Remain.</t>
  </si>
  <si>
    <t>Salvage</t>
  </si>
  <si>
    <t>Classification</t>
  </si>
  <si>
    <t>Amount</t>
  </si>
  <si>
    <t>Life</t>
  </si>
  <si>
    <t>Value</t>
  </si>
  <si>
    <t>PP&amp;E</t>
  </si>
  <si>
    <t>Class 2</t>
  </si>
  <si>
    <t>Class 3</t>
  </si>
  <si>
    <t>Class 4</t>
  </si>
  <si>
    <t>Depreciation of Existing Fixed Assets</t>
  </si>
  <si>
    <t>Subtotal</t>
  </si>
  <si>
    <t>Capital Expenditures</t>
  </si>
  <si>
    <t>Useful</t>
  </si>
  <si>
    <t>Year</t>
  </si>
  <si>
    <t>CapEx</t>
  </si>
  <si>
    <t>Depreciation of Capital Expenditures</t>
  </si>
  <si>
    <t>Total Computed Depreciation Expense</t>
  </si>
  <si>
    <t>Analyst-Projected (Manual) Depreciation Expense</t>
  </si>
  <si>
    <t>Book Depreciation Expense</t>
  </si>
  <si>
    <t xml:space="preserve"> Manual or Computed</t>
  </si>
  <si>
    <t>0=Manual, 1=Computed</t>
  </si>
  <si>
    <t>Existing Depreciation</t>
  </si>
  <si>
    <t>Depreciation of Fixed Asset Write-Up</t>
  </si>
  <si>
    <t>Existing Amortization</t>
  </si>
  <si>
    <t>New Intangibles Amortization</t>
  </si>
  <si>
    <t>Stock-Based Compensation</t>
  </si>
  <si>
    <t>Interest Income</t>
  </si>
  <si>
    <t>Equity Income</t>
  </si>
  <si>
    <t>Sponsor Management Fee</t>
  </si>
  <si>
    <t>(Gain) / Loss on Sale of Assets</t>
  </si>
  <si>
    <t>Total Other (Income) / Expense</t>
  </si>
  <si>
    <t>Income Before Tax</t>
  </si>
  <si>
    <t>Other Assumptions</t>
  </si>
  <si>
    <t>Total Interest (Income) / Expense</t>
  </si>
  <si>
    <t>Effective Tax Rate</t>
  </si>
  <si>
    <t>Pro Forma GAAP Net Income</t>
  </si>
  <si>
    <t>Income Tax (Benefit) / Expense</t>
  </si>
  <si>
    <t>Common Stock Dividend</t>
  </si>
  <si>
    <t>Non-Controlling (Minority) Interest</t>
  </si>
  <si>
    <t>Pro Forma GAAP Net Income Available to Common Shareholders</t>
  </si>
  <si>
    <t>- Pre-Deal NOLs Used</t>
  </si>
  <si>
    <t>- Post-Deal NOLs Used</t>
  </si>
  <si>
    <t>= Post-NOL Taxable Income</t>
  </si>
  <si>
    <t>Cash Taxes Payable</t>
  </si>
  <si>
    <t>Pre-Deal NOL Detail</t>
  </si>
  <si>
    <t>Beginning NOL Balance</t>
  </si>
  <si>
    <t>Ending NOL Balance</t>
  </si>
  <si>
    <t>Federal</t>
  </si>
  <si>
    <t>NOL</t>
  </si>
  <si>
    <t>Expiry.</t>
  </si>
  <si>
    <t>Post-Deal NOL Detail</t>
  </si>
  <si>
    <t>+ NOL Carrryforward from Current Period</t>
  </si>
  <si>
    <t>Deferred Taxes</t>
  </si>
  <si>
    <t>Increase / (Decrease) in Net Deferred Tax Liability</t>
  </si>
  <si>
    <t>NM</t>
  </si>
  <si>
    <t>Section 382 Limitation</t>
  </si>
  <si>
    <t>- Purchase Accounting Adjustment (Year 1 only)</t>
  </si>
  <si>
    <t>Write Down Target's Existing DTA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</si>
</sst>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0.0%_);@_)"/>
    <numFmt numFmtId="165" formatCode="0000\P"/>
    <numFmt numFmtId="166" formatCode="0.00%_);\(0.00%\);0.00%_);@_)"/>
    <numFmt numFmtId="167" formatCode="&quot;$&quot;#,##0.00_);\(&quot;$&quot;#,##0.00\);&quot;$&quot;#,##0.00_);@_)"/>
    <numFmt numFmtId="168" formatCode="&quot;$&quot;#,##0.0_);\(&quot;$&quot;#,##0.0\);&quot;$&quot;#,##0.0_);@_)"/>
    <numFmt numFmtId="169" formatCode="0.00\x_);\(0.00\x\);0.00\x_);@_)"/>
    <numFmt numFmtId="170" formatCode="#,##0.0_);\(#,##0.0\);#,##0.0_);@_)"/>
    <numFmt numFmtId="171" formatCode="#,##0.000_);\(#,##0.000\)"/>
    <numFmt numFmtId="172" formatCode="0.0%"/>
    <numFmt numFmtId="173" formatCode="&quot;L + &quot;0_)"/>
    <numFmt numFmtId="174" formatCode="#,##0.0_);\(#,##0.0\)"/>
    <numFmt numFmtId="175" formatCode="0.0\x_);\(0.0\x\);0.0\x_);@_)"/>
    <numFmt numFmtId="176" formatCode="&quot;yes&quot;;&quot;ERROR&quot;;&quot;no&quot;;&quot;ERROR&quot;"/>
    <numFmt numFmtId="177" formatCode="&quot;$&quot;#,##0.0_);\(&quot;$&quot;#,##0.0\)"/>
    <numFmt numFmtId="178" formatCode="&quot;Year &quot;0"/>
    <numFmt numFmtId="179" formatCode="#,##0.000_);\(#,##0.000\);#,##0.000_);@_)"/>
    <numFmt numFmtId="180" formatCode="#,##0.00_);\(#,##0.00\);#,##0.00_);@_)"/>
    <numFmt numFmtId="181" formatCode="0000\A"/>
    <numFmt numFmtId="182" formatCode="0000&quot;E&quot;"/>
    <numFmt numFmtId="183" formatCode="#,##0.0"/>
    <numFmt numFmtId="184" formatCode="#,##0.000000000000000"/>
    <numFmt numFmtId="185" formatCode="m/d/yyyy;@"/>
    <numFmt numFmtId="186" formatCode="&quot;Case &quot;0"/>
    <numFmt numFmtId="187" formatCode="0.000"/>
    <numFmt numFmtId="188" formatCode="0_*&quot;months&quot;"/>
    <numFmt numFmtId="189" formatCode="0_);\(0\)"/>
    <numFmt numFmtId="190" formatCode="&quot;Yes&quot;;&quot;Yes&quot;;&quot;No&quot;"/>
    <numFmt numFmtId="191" formatCode="&quot;True&quot;;&quot;True&quot;;&quot;False&quot;"/>
    <numFmt numFmtId="192" formatCode="&quot;On&quot;;&quot;On&quot;;&quot;Off&quot;"/>
    <numFmt numFmtId="193" formatCode="[$€-2]\ #,##0.00_);[Red]\([$€-2]\ #,##0.00\)"/>
    <numFmt numFmtId="194" formatCode="#,##0.0000000000"/>
  </numFmts>
  <fonts count="28">
    <font>
      <sz val="10"/>
      <name val="Arial"/>
      <family val="0"/>
    </font>
    <font>
      <sz val="18"/>
      <color indexed="8"/>
      <name val="Arial"/>
      <family val="2"/>
    </font>
    <font>
      <i/>
      <sz val="9"/>
      <name val="Arial"/>
      <family val="2"/>
    </font>
    <font>
      <b/>
      <sz val="10"/>
      <color indexed="9"/>
      <name val="Arial"/>
      <family val="2"/>
    </font>
    <font>
      <b/>
      <sz val="10"/>
      <name val="Arial"/>
      <family val="2"/>
    </font>
    <font>
      <sz val="10"/>
      <color indexed="12"/>
      <name val="Arial"/>
      <family val="0"/>
    </font>
    <font>
      <i/>
      <sz val="10"/>
      <name val="Arial"/>
      <family val="2"/>
    </font>
    <font>
      <i/>
      <sz val="10"/>
      <color indexed="12"/>
      <name val="Arial"/>
      <family val="2"/>
    </font>
    <font>
      <u val="single"/>
      <sz val="8"/>
      <color indexed="12"/>
      <name val="Arial"/>
      <family val="0"/>
    </font>
    <font>
      <sz val="10"/>
      <name val="MS Sans Serif"/>
      <family val="0"/>
    </font>
    <font>
      <sz val="8"/>
      <color indexed="8"/>
      <name val="Tahoma"/>
      <family val="0"/>
    </font>
    <font>
      <sz val="8"/>
      <name val="Arial"/>
      <family val="0"/>
    </font>
    <font>
      <i/>
      <sz val="16"/>
      <color indexed="8"/>
      <name val="Arial"/>
      <family val="2"/>
    </font>
    <font>
      <b/>
      <sz val="10"/>
      <color indexed="12"/>
      <name val="Arial"/>
      <family val="2"/>
    </font>
    <font>
      <b/>
      <sz val="10"/>
      <color indexed="8"/>
      <name val="Arial"/>
      <family val="2"/>
    </font>
    <font>
      <i/>
      <sz val="10"/>
      <color indexed="8"/>
      <name val="Arial"/>
      <family val="2"/>
    </font>
    <font>
      <i/>
      <sz val="8"/>
      <name val="Arial"/>
      <family val="2"/>
    </font>
    <font>
      <sz val="10"/>
      <color indexed="8"/>
      <name val="Arial"/>
      <family val="0"/>
    </font>
    <font>
      <sz val="10"/>
      <color indexed="10"/>
      <name val="Arial"/>
      <family val="0"/>
    </font>
    <font>
      <b/>
      <u val="single"/>
      <sz val="10"/>
      <name val="Arial"/>
      <family val="2"/>
    </font>
    <font>
      <i/>
      <sz val="10"/>
      <color indexed="17"/>
      <name val="Arial"/>
      <family val="2"/>
    </font>
    <font>
      <b/>
      <sz val="10"/>
      <color indexed="17"/>
      <name val="Arial"/>
      <family val="2"/>
    </font>
    <font>
      <b/>
      <i/>
      <sz val="10"/>
      <name val="Arial"/>
      <family val="2"/>
    </font>
    <font>
      <sz val="8"/>
      <name val="Tahoma"/>
      <family val="2"/>
    </font>
    <font>
      <sz val="10"/>
      <color indexed="17"/>
      <name val="Arial"/>
      <family val="0"/>
    </font>
    <font>
      <sz val="10"/>
      <color indexed="9"/>
      <name val="Arial"/>
      <family val="2"/>
    </font>
    <font>
      <b/>
      <i/>
      <sz val="10"/>
      <color indexed="8"/>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2"/>
      </top>
      <bottom style="double">
        <color indexed="22"/>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2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0" fillId="0" borderId="0" xfId="0" applyNumberFormat="1" applyFont="1" applyFill="1" applyBorder="1" applyAlignment="1" applyProtection="1">
      <alignment/>
      <protection/>
    </xf>
    <xf numFmtId="0" fontId="0" fillId="0" borderId="0" xfId="0" applyBorder="1" applyAlignment="1">
      <alignment/>
    </xf>
    <xf numFmtId="167" fontId="5" fillId="0" borderId="0" xfId="0" applyNumberFormat="1" applyFont="1" applyAlignment="1">
      <alignment/>
    </xf>
    <xf numFmtId="0" fontId="0" fillId="0" borderId="0" xfId="0" applyFill="1" applyBorder="1" applyAlignment="1">
      <alignment/>
    </xf>
    <xf numFmtId="164" fontId="7" fillId="0" borderId="0" xfId="0" applyNumberFormat="1" applyFont="1" applyBorder="1" applyAlignment="1">
      <alignment/>
    </xf>
    <xf numFmtId="0" fontId="4" fillId="0" borderId="0" xfId="0" applyFont="1" applyAlignment="1">
      <alignment/>
    </xf>
    <xf numFmtId="167" fontId="0" fillId="0" borderId="0" xfId="0" applyNumberFormat="1" applyFont="1" applyAlignment="1">
      <alignment/>
    </xf>
    <xf numFmtId="164" fontId="6" fillId="0" borderId="0" xfId="0" applyNumberFormat="1" applyFont="1" applyBorder="1" applyAlignment="1">
      <alignment/>
    </xf>
    <xf numFmtId="14" fontId="5" fillId="0" borderId="0" xfId="0" applyNumberFormat="1" applyFont="1" applyAlignment="1">
      <alignment/>
    </xf>
    <xf numFmtId="37" fontId="0" fillId="0" borderId="0" xfId="0" applyNumberFormat="1" applyFont="1" applyAlignment="1">
      <alignment/>
    </xf>
    <xf numFmtId="0" fontId="5" fillId="0" borderId="0" xfId="0" applyFont="1" applyAlignment="1">
      <alignment horizontal="right"/>
    </xf>
    <xf numFmtId="14" fontId="0" fillId="0" borderId="0" xfId="0" applyNumberFormat="1" applyFont="1" applyAlignment="1">
      <alignment/>
    </xf>
    <xf numFmtId="18" fontId="0" fillId="0" borderId="0" xfId="20" applyNumberFormat="1" applyFont="1" applyAlignment="1">
      <alignment horizontal="right"/>
      <protection/>
    </xf>
    <xf numFmtId="0" fontId="12" fillId="0" borderId="1" xfId="0" applyFont="1" applyBorder="1" applyAlignment="1">
      <alignment/>
    </xf>
    <xf numFmtId="0" fontId="6" fillId="0" borderId="0" xfId="0" applyFont="1" applyAlignment="1">
      <alignment/>
    </xf>
    <xf numFmtId="0" fontId="4" fillId="0" borderId="2" xfId="0" applyFont="1" applyBorder="1" applyAlignment="1">
      <alignment horizontal="centerContinuous"/>
    </xf>
    <xf numFmtId="0" fontId="0" fillId="0" borderId="2" xfId="0" applyBorder="1" applyAlignment="1">
      <alignment horizontal="centerContinuous"/>
    </xf>
    <xf numFmtId="0" fontId="4" fillId="0" borderId="0" xfId="0" applyFont="1" applyAlignment="1">
      <alignment horizontal="center"/>
    </xf>
    <xf numFmtId="181" fontId="4" fillId="0" borderId="2" xfId="0" applyNumberFormat="1" applyFont="1" applyBorder="1" applyAlignment="1">
      <alignment horizontal="center"/>
    </xf>
    <xf numFmtId="0" fontId="0" fillId="0" borderId="0" xfId="0" applyFont="1" applyAlignment="1">
      <alignment/>
    </xf>
    <xf numFmtId="181" fontId="13" fillId="0" borderId="2" xfId="0" applyNumberFormat="1" applyFont="1" applyBorder="1" applyAlignment="1">
      <alignment horizontal="center"/>
    </xf>
    <xf numFmtId="165" fontId="14" fillId="0" borderId="2" xfId="0" applyNumberFormat="1" applyFont="1" applyBorder="1" applyAlignment="1">
      <alignment horizontal="center"/>
    </xf>
    <xf numFmtId="165" fontId="14" fillId="0" borderId="0" xfId="0" applyNumberFormat="1" applyFont="1" applyBorder="1" applyAlignment="1">
      <alignment horizontal="center"/>
    </xf>
    <xf numFmtId="182" fontId="14" fillId="0" borderId="2" xfId="0" applyNumberFormat="1" applyFont="1" applyBorder="1" applyAlignment="1">
      <alignment horizontal="center"/>
    </xf>
    <xf numFmtId="14" fontId="4" fillId="0" borderId="2" xfId="0" applyNumberFormat="1" applyFont="1" applyBorder="1" applyAlignment="1">
      <alignment horizontal="center"/>
    </xf>
    <xf numFmtId="168" fontId="4" fillId="0" borderId="0" xfId="0" applyNumberFormat="1" applyFont="1" applyAlignment="1">
      <alignment/>
    </xf>
    <xf numFmtId="168" fontId="13" fillId="0" borderId="0" xfId="0" applyNumberFormat="1" applyFont="1" applyAlignment="1">
      <alignment/>
    </xf>
    <xf numFmtId="168" fontId="14" fillId="0" borderId="0" xfId="0" applyNumberFormat="1" applyFont="1" applyAlignment="1">
      <alignment/>
    </xf>
    <xf numFmtId="164" fontId="15" fillId="0" borderId="0" xfId="0" applyNumberFormat="1" applyFont="1" applyAlignment="1">
      <alignment/>
    </xf>
    <xf numFmtId="0" fontId="6" fillId="0" borderId="0" xfId="0" applyFont="1" applyAlignment="1">
      <alignment horizontal="right"/>
    </xf>
    <xf numFmtId="164" fontId="7" fillId="0" borderId="0" xfId="0" applyNumberFormat="1" applyFont="1" applyAlignment="1">
      <alignment/>
    </xf>
    <xf numFmtId="0" fontId="16" fillId="0" borderId="0" xfId="0" applyFont="1" applyAlignment="1">
      <alignment/>
    </xf>
    <xf numFmtId="170" fontId="0" fillId="0" borderId="0" xfId="0" applyNumberFormat="1" applyAlignment="1">
      <alignment/>
    </xf>
    <xf numFmtId="170" fontId="5" fillId="0" borderId="0" xfId="0" applyNumberFormat="1" applyFont="1" applyAlignment="1">
      <alignment/>
    </xf>
    <xf numFmtId="170" fontId="17" fillId="0" borderId="0" xfId="0" applyNumberFormat="1" applyFont="1" applyAlignment="1">
      <alignment/>
    </xf>
    <xf numFmtId="164" fontId="15" fillId="0" borderId="0" xfId="0" applyNumberFormat="1" applyFont="1" applyAlignment="1">
      <alignment horizontal="right"/>
    </xf>
    <xf numFmtId="164" fontId="7" fillId="0" borderId="0" xfId="0" applyNumberFormat="1" applyFont="1" applyAlignment="1">
      <alignment horizontal="right"/>
    </xf>
    <xf numFmtId="168" fontId="17" fillId="0" borderId="3" xfId="0" applyNumberFormat="1" applyFont="1" applyBorder="1" applyAlignment="1">
      <alignment/>
    </xf>
    <xf numFmtId="170" fontId="5" fillId="0" borderId="0"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4" fillId="0" borderId="0" xfId="0" applyFont="1" applyBorder="1" applyAlignment="1">
      <alignment/>
    </xf>
    <xf numFmtId="168" fontId="14" fillId="0" borderId="0" xfId="0" applyNumberFormat="1" applyFont="1" applyBorder="1" applyAlignment="1">
      <alignment/>
    </xf>
    <xf numFmtId="0" fontId="4" fillId="0" borderId="6" xfId="0" applyFont="1" applyBorder="1" applyAlignment="1">
      <alignment/>
    </xf>
    <xf numFmtId="0" fontId="6" fillId="0" borderId="0" xfId="0" applyFont="1" applyBorder="1" applyAlignment="1">
      <alignment/>
    </xf>
    <xf numFmtId="164" fontId="15" fillId="0" borderId="0" xfId="0" applyNumberFormat="1" applyFont="1" applyBorder="1" applyAlignment="1">
      <alignment horizontal="right"/>
    </xf>
    <xf numFmtId="0" fontId="6" fillId="0" borderId="6" xfId="0" applyFont="1" applyBorder="1" applyAlignment="1">
      <alignment/>
    </xf>
    <xf numFmtId="0" fontId="0" fillId="0" borderId="6" xfId="0" applyBorder="1" applyAlignment="1">
      <alignment/>
    </xf>
    <xf numFmtId="170" fontId="0" fillId="0" borderId="0" xfId="0" applyNumberFormat="1" applyBorder="1" applyAlignment="1">
      <alignment/>
    </xf>
    <xf numFmtId="170" fontId="5" fillId="0" borderId="0" xfId="0" applyNumberFormat="1" applyFont="1" applyBorder="1" applyAlignment="1">
      <alignment/>
    </xf>
    <xf numFmtId="170" fontId="17" fillId="0" borderId="0" xfId="0" applyNumberFormat="1" applyFont="1" applyBorder="1" applyAlignment="1">
      <alignment/>
    </xf>
    <xf numFmtId="170" fontId="0" fillId="0" borderId="6" xfId="0" applyNumberFormat="1" applyBorder="1" applyAlignment="1">
      <alignment/>
    </xf>
    <xf numFmtId="164" fontId="7" fillId="0" borderId="0"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0" xfId="0" applyNumberFormat="1" applyFont="1" applyFill="1" applyBorder="1" applyAlignment="1">
      <alignment/>
    </xf>
    <xf numFmtId="43" fontId="5" fillId="0" borderId="0" xfId="15" applyFont="1" applyAlignment="1">
      <alignment/>
    </xf>
    <xf numFmtId="43" fontId="17" fillId="0" borderId="0" xfId="15" applyFont="1" applyAlignment="1">
      <alignment/>
    </xf>
    <xf numFmtId="43" fontId="0" fillId="0" borderId="0" xfId="15" applyNumberFormat="1" applyAlignment="1">
      <alignment/>
    </xf>
    <xf numFmtId="170" fontId="5" fillId="0" borderId="0" xfId="15" applyNumberFormat="1" applyFont="1" applyAlignment="1">
      <alignment/>
    </xf>
    <xf numFmtId="43" fontId="0" fillId="0" borderId="0" xfId="15" applyFont="1" applyFill="1" applyBorder="1" applyAlignment="1" applyProtection="1">
      <alignment/>
      <protection/>
    </xf>
    <xf numFmtId="168" fontId="17" fillId="0" borderId="0" xfId="0" applyNumberFormat="1" applyFont="1" applyBorder="1" applyAlignment="1">
      <alignment/>
    </xf>
    <xf numFmtId="164" fontId="6" fillId="0" borderId="0" xfId="0" applyNumberFormat="1" applyFont="1" applyAlignment="1">
      <alignment/>
    </xf>
    <xf numFmtId="0" fontId="4" fillId="0" borderId="9" xfId="0" applyFont="1" applyBorder="1" applyAlignment="1">
      <alignment/>
    </xf>
    <xf numFmtId="167" fontId="14" fillId="0" borderId="9" xfId="0" applyNumberFormat="1" applyFont="1" applyBorder="1" applyAlignment="1">
      <alignment/>
    </xf>
    <xf numFmtId="0" fontId="4" fillId="0" borderId="10" xfId="0" applyFont="1" applyBorder="1" applyAlignment="1">
      <alignment/>
    </xf>
    <xf numFmtId="179" fontId="5" fillId="0" borderId="0" xfId="0" applyNumberFormat="1" applyFont="1" applyAlignment="1">
      <alignment/>
    </xf>
    <xf numFmtId="179" fontId="18" fillId="0" borderId="0" xfId="0" applyNumberFormat="1" applyFont="1" applyAlignment="1">
      <alignment/>
    </xf>
    <xf numFmtId="179" fontId="0" fillId="0" borderId="0" xfId="0" applyNumberFormat="1" applyFont="1" applyAlignment="1">
      <alignment/>
    </xf>
    <xf numFmtId="168" fontId="17" fillId="0" borderId="0" xfId="0" applyNumberFormat="1" applyFont="1" applyAlignment="1">
      <alignment/>
    </xf>
    <xf numFmtId="168" fontId="14" fillId="0" borderId="3" xfId="0" applyNumberFormat="1" applyFont="1" applyBorder="1" applyAlignment="1">
      <alignment/>
    </xf>
    <xf numFmtId="168" fontId="0" fillId="0" borderId="0" xfId="0" applyNumberFormat="1" applyAlignment="1">
      <alignment/>
    </xf>
    <xf numFmtId="168" fontId="5" fillId="0" borderId="0" xfId="0" applyNumberFormat="1" applyFont="1" applyAlignment="1">
      <alignment/>
    </xf>
    <xf numFmtId="177" fontId="17" fillId="0" borderId="3" xfId="0" applyNumberFormat="1" applyFont="1" applyBorder="1" applyAlignment="1">
      <alignment/>
    </xf>
    <xf numFmtId="177" fontId="0" fillId="0" borderId="0" xfId="0" applyNumberFormat="1" applyBorder="1" applyAlignment="1">
      <alignment/>
    </xf>
    <xf numFmtId="0" fontId="0" fillId="0" borderId="0" xfId="0" applyFont="1" applyAlignment="1">
      <alignment horizontal="left"/>
    </xf>
    <xf numFmtId="178" fontId="4" fillId="0" borderId="0" xfId="0" applyNumberFormat="1" applyFont="1" applyAlignment="1">
      <alignment horizontal="center"/>
    </xf>
    <xf numFmtId="0" fontId="14" fillId="0" borderId="2" xfId="0" applyNumberFormat="1" applyFont="1" applyBorder="1" applyAlignment="1">
      <alignment horizontal="center"/>
    </xf>
    <xf numFmtId="0" fontId="19" fillId="0" borderId="0" xfId="0" applyFont="1" applyAlignment="1">
      <alignment/>
    </xf>
    <xf numFmtId="0" fontId="5" fillId="0" borderId="0" xfId="0" applyFont="1" applyAlignment="1">
      <alignment/>
    </xf>
    <xf numFmtId="164" fontId="20" fillId="0" borderId="0" xfId="0" applyNumberFormat="1" applyFont="1" applyAlignment="1">
      <alignment/>
    </xf>
    <xf numFmtId="164" fontId="5" fillId="0" borderId="0" xfId="0" applyNumberFormat="1" applyFont="1" applyAlignment="1">
      <alignment/>
    </xf>
    <xf numFmtId="178" fontId="13" fillId="0" borderId="0" xfId="0" applyNumberFormat="1" applyFont="1" applyBorder="1" applyAlignment="1">
      <alignment horizontal="center"/>
    </xf>
    <xf numFmtId="0" fontId="21" fillId="0" borderId="2" xfId="0" applyNumberFormat="1" applyFont="1" applyBorder="1" applyAlignment="1">
      <alignment horizontal="center"/>
    </xf>
    <xf numFmtId="0" fontId="5" fillId="0" borderId="0" xfId="0" applyFont="1" applyAlignment="1">
      <alignment horizontal="center"/>
    </xf>
    <xf numFmtId="164" fontId="22" fillId="0" borderId="0" xfId="0" applyNumberFormat="1" applyFont="1" applyAlignment="1">
      <alignment/>
    </xf>
    <xf numFmtId="174" fontId="5" fillId="0" borderId="0" xfId="0" applyNumberFormat="1" applyFont="1" applyAlignment="1">
      <alignment/>
    </xf>
    <xf numFmtId="177" fontId="0" fillId="0" borderId="3" xfId="0" applyNumberFormat="1" applyBorder="1" applyAlignment="1">
      <alignment/>
    </xf>
    <xf numFmtId="168" fontId="21" fillId="0" borderId="0" xfId="0" applyNumberFormat="1" applyFont="1" applyAlignment="1">
      <alignment/>
    </xf>
    <xf numFmtId="170" fontId="0" fillId="0" borderId="0" xfId="0" applyNumberFormat="1" applyFont="1" applyAlignment="1">
      <alignment/>
    </xf>
    <xf numFmtId="177" fontId="4" fillId="0" borderId="3" xfId="0" applyNumberFormat="1" applyFont="1" applyBorder="1" applyAlignment="1">
      <alignment/>
    </xf>
    <xf numFmtId="170" fontId="24" fillId="0" borderId="0" xfId="0" applyNumberFormat="1" applyFont="1" applyAlignment="1">
      <alignment/>
    </xf>
    <xf numFmtId="1" fontId="4" fillId="0" borderId="2" xfId="0" applyNumberFormat="1" applyFont="1" applyBorder="1" applyAlignment="1">
      <alignment horizontal="center"/>
    </xf>
    <xf numFmtId="0" fontId="7" fillId="0" borderId="0" xfId="0" applyFont="1" applyAlignment="1">
      <alignment horizontal="right"/>
    </xf>
    <xf numFmtId="185" fontId="4" fillId="0" borderId="2" xfId="0" applyNumberFormat="1" applyFont="1" applyBorder="1" applyAlignment="1">
      <alignment horizontal="center"/>
    </xf>
    <xf numFmtId="0" fontId="14" fillId="0" borderId="2" xfId="0" applyNumberFormat="1" applyFont="1" applyBorder="1" applyAlignment="1">
      <alignment horizontal="centerContinuous"/>
    </xf>
    <xf numFmtId="14" fontId="14" fillId="0" borderId="2" xfId="0" applyNumberFormat="1" applyFont="1" applyBorder="1" applyAlignment="1">
      <alignment horizontal="center"/>
    </xf>
    <xf numFmtId="168" fontId="17" fillId="0" borderId="3" xfId="0" applyNumberFormat="1" applyFont="1" applyFill="1" applyBorder="1" applyAlignment="1">
      <alignment/>
    </xf>
    <xf numFmtId="168" fontId="5" fillId="0" borderId="3" xfId="0" applyNumberFormat="1" applyFont="1" applyBorder="1" applyAlignment="1">
      <alignment/>
    </xf>
    <xf numFmtId="168" fontId="0" fillId="0" borderId="3" xfId="0" applyNumberFormat="1" applyFont="1" applyBorder="1" applyAlignment="1">
      <alignment/>
    </xf>
    <xf numFmtId="174" fontId="17" fillId="0" borderId="0" xfId="0" applyNumberFormat="1" applyFont="1" applyAlignment="1">
      <alignment/>
    </xf>
    <xf numFmtId="168" fontId="14" fillId="0" borderId="11" xfId="0" applyNumberFormat="1" applyFont="1" applyBorder="1" applyAlignment="1">
      <alignment/>
    </xf>
    <xf numFmtId="168" fontId="17" fillId="0" borderId="0" xfId="0" applyNumberFormat="1" applyFont="1" applyAlignment="1">
      <alignment/>
    </xf>
    <xf numFmtId="168" fontId="17" fillId="0" borderId="3" xfId="0" applyNumberFormat="1" applyFont="1" applyBorder="1" applyAlignment="1">
      <alignment/>
    </xf>
    <xf numFmtId="179" fontId="15" fillId="0" borderId="0" xfId="0" applyNumberFormat="1" applyFont="1" applyAlignment="1">
      <alignment/>
    </xf>
    <xf numFmtId="0" fontId="0" fillId="0" borderId="0" xfId="0" applyAlignment="1">
      <alignment horizontal="center"/>
    </xf>
    <xf numFmtId="0" fontId="0" fillId="0" borderId="2" xfId="0" applyBorder="1" applyAlignment="1">
      <alignment horizontal="center"/>
    </xf>
    <xf numFmtId="179" fontId="17" fillId="0" borderId="0" xfId="0" applyNumberFormat="1" applyFont="1" applyAlignment="1">
      <alignment/>
    </xf>
    <xf numFmtId="180" fontId="5" fillId="0" borderId="0" xfId="0" applyNumberFormat="1" applyFont="1" applyAlignment="1">
      <alignment/>
    </xf>
    <xf numFmtId="167" fontId="5" fillId="0" borderId="0" xfId="0" applyNumberFormat="1" applyFont="1" applyFill="1" applyBorder="1" applyAlignment="1">
      <alignment/>
    </xf>
    <xf numFmtId="167" fontId="5" fillId="0" borderId="0" xfId="0" applyNumberFormat="1" applyFont="1" applyAlignment="1">
      <alignment horizontal="right"/>
    </xf>
    <xf numFmtId="164" fontId="5" fillId="0" borderId="0" xfId="0" applyNumberFormat="1" applyFont="1" applyAlignment="1">
      <alignment/>
    </xf>
    <xf numFmtId="179" fontId="0" fillId="0" borderId="0" xfId="0" applyNumberFormat="1" applyAlignment="1">
      <alignment/>
    </xf>
    <xf numFmtId="171" fontId="0" fillId="0" borderId="3" xfId="0" applyNumberFormat="1" applyBorder="1" applyAlignment="1">
      <alignment/>
    </xf>
    <xf numFmtId="170" fontId="0" fillId="0" borderId="0" xfId="0" applyNumberFormat="1" applyFont="1" applyBorder="1" applyAlignment="1">
      <alignment/>
    </xf>
    <xf numFmtId="0" fontId="0" fillId="0" borderId="0" xfId="0" applyAlignment="1">
      <alignment horizontal="left" indent="1"/>
    </xf>
    <xf numFmtId="168" fontId="0" fillId="0" borderId="0" xfId="0" applyNumberFormat="1" applyFont="1" applyAlignment="1">
      <alignment/>
    </xf>
    <xf numFmtId="174" fontId="0" fillId="0" borderId="0" xfId="0" applyNumberFormat="1" applyFont="1" applyAlignment="1">
      <alignment/>
    </xf>
    <xf numFmtId="169" fontId="17" fillId="0" borderId="0" xfId="0" applyNumberFormat="1" applyFont="1" applyBorder="1" applyAlignment="1">
      <alignment/>
    </xf>
    <xf numFmtId="0" fontId="0" fillId="0" borderId="0" xfId="0" applyNumberFormat="1" applyBorder="1" applyAlignment="1">
      <alignment/>
    </xf>
    <xf numFmtId="175" fontId="17" fillId="0" borderId="0" xfId="0" applyNumberFormat="1" applyFont="1" applyBorder="1" applyAlignment="1">
      <alignment/>
    </xf>
    <xf numFmtId="0" fontId="25" fillId="2" borderId="0" xfId="0" applyFont="1" applyFill="1" applyAlignment="1">
      <alignment horizontal="centerContinuous"/>
    </xf>
    <xf numFmtId="166" fontId="7" fillId="0" borderId="0" xfId="0" applyNumberFormat="1" applyFont="1" applyBorder="1" applyAlignment="1">
      <alignment/>
    </xf>
    <xf numFmtId="0" fontId="0" fillId="0" borderId="0" xfId="0" applyAlignment="1">
      <alignment/>
    </xf>
    <xf numFmtId="176" fontId="5" fillId="0" borderId="0" xfId="0" applyNumberFormat="1" applyFont="1" applyBorder="1" applyAlignment="1">
      <alignment horizontal="center"/>
    </xf>
    <xf numFmtId="186" fontId="14" fillId="0" borderId="2" xfId="0" applyNumberFormat="1" applyFont="1" applyBorder="1" applyAlignment="1">
      <alignment horizontal="center"/>
    </xf>
    <xf numFmtId="0" fontId="14" fillId="0" borderId="0" xfId="0" applyNumberFormat="1" applyFont="1" applyBorder="1" applyAlignment="1">
      <alignment horizontal="centerContinuous"/>
    </xf>
    <xf numFmtId="186" fontId="14" fillId="0" borderId="2" xfId="0" applyNumberFormat="1" applyFont="1" applyBorder="1" applyAlignment="1">
      <alignment horizontal="centerContinuous"/>
    </xf>
    <xf numFmtId="0" fontId="14" fillId="0" borderId="0" xfId="0" applyNumberFormat="1" applyFont="1" applyBorder="1" applyAlignment="1">
      <alignment horizontal="left"/>
    </xf>
    <xf numFmtId="166" fontId="7" fillId="0" borderId="0" xfId="0" applyNumberFormat="1" applyFont="1" applyAlignment="1">
      <alignment/>
    </xf>
    <xf numFmtId="166" fontId="0" fillId="0" borderId="0" xfId="0" applyNumberFormat="1" applyFont="1" applyAlignment="1">
      <alignment/>
    </xf>
    <xf numFmtId="168" fontId="0" fillId="0" borderId="0" xfId="0" applyNumberFormat="1" applyFont="1" applyFill="1" applyBorder="1" applyAlignment="1">
      <alignment/>
    </xf>
    <xf numFmtId="187" fontId="0" fillId="0" borderId="0" xfId="0" applyNumberFormat="1" applyAlignment="1">
      <alignment/>
    </xf>
    <xf numFmtId="0" fontId="5" fillId="0" borderId="0" xfId="0" applyNumberFormat="1" applyFont="1" applyAlignment="1">
      <alignment horizontal="center"/>
    </xf>
    <xf numFmtId="0" fontId="17" fillId="0" borderId="0" xfId="0" applyNumberFormat="1" applyFont="1" applyAlignment="1">
      <alignment horizontal="center"/>
    </xf>
    <xf numFmtId="0" fontId="0" fillId="0" borderId="0" xfId="0" applyNumberFormat="1" applyFont="1" applyAlignment="1">
      <alignment horizontal="center"/>
    </xf>
    <xf numFmtId="0" fontId="6" fillId="0" borderId="0" xfId="0" applyFont="1" applyAlignment="1">
      <alignment wrapText="1"/>
    </xf>
    <xf numFmtId="0" fontId="0" fillId="0" borderId="0" xfId="0" applyFont="1" applyAlignment="1">
      <alignment vertical="top"/>
    </xf>
    <xf numFmtId="0" fontId="6" fillId="0" borderId="0" xfId="0" applyFont="1" applyAlignment="1">
      <alignment horizontal="center" vertical="top" wrapText="1"/>
    </xf>
    <xf numFmtId="168" fontId="5" fillId="0" borderId="0" xfId="0" applyNumberFormat="1" applyFont="1" applyFill="1" applyBorder="1" applyAlignment="1">
      <alignment/>
    </xf>
    <xf numFmtId="169" fontId="17" fillId="0" borderId="0" xfId="15" applyNumberFormat="1" applyFont="1" applyAlignment="1">
      <alignment/>
    </xf>
    <xf numFmtId="170" fontId="0" fillId="0" borderId="0" xfId="0" applyNumberFormat="1" applyFont="1" applyFill="1" applyBorder="1" applyAlignment="1">
      <alignment/>
    </xf>
    <xf numFmtId="170" fontId="17" fillId="0" borderId="0" xfId="0" applyNumberFormat="1" applyFont="1" applyFill="1" applyBorder="1" applyAlignment="1">
      <alignment/>
    </xf>
    <xf numFmtId="168" fontId="14" fillId="0" borderId="11" xfId="0" applyNumberFormat="1" applyFont="1" applyBorder="1" applyAlignment="1">
      <alignment/>
    </xf>
    <xf numFmtId="0" fontId="17" fillId="0" borderId="0" xfId="0" applyNumberFormat="1" applyFont="1" applyAlignment="1">
      <alignment/>
    </xf>
    <xf numFmtId="176" fontId="5" fillId="0" borderId="0" xfId="0" applyNumberFormat="1" applyFont="1" applyAlignment="1">
      <alignment horizontal="center"/>
    </xf>
    <xf numFmtId="176" fontId="0" fillId="0" borderId="0" xfId="0" applyNumberFormat="1" applyAlignment="1">
      <alignment/>
    </xf>
    <xf numFmtId="176" fontId="5" fillId="0" borderId="0" xfId="0" applyNumberFormat="1" applyFont="1" applyAlignment="1">
      <alignment horizontal="centerContinuous"/>
    </xf>
    <xf numFmtId="176" fontId="0" fillId="0" borderId="0" xfId="0" applyNumberFormat="1" applyAlignment="1">
      <alignment horizontal="centerContinuous"/>
    </xf>
    <xf numFmtId="176" fontId="17" fillId="0" borderId="0" xfId="0" applyNumberFormat="1" applyFont="1" applyAlignment="1">
      <alignment horizontal="center"/>
    </xf>
    <xf numFmtId="164" fontId="26" fillId="0" borderId="11" xfId="0" applyNumberFormat="1" applyFont="1" applyBorder="1" applyAlignment="1">
      <alignment/>
    </xf>
    <xf numFmtId="169" fontId="14" fillId="0" borderId="11" xfId="0" applyNumberFormat="1" applyFont="1" applyBorder="1" applyAlignment="1">
      <alignment/>
    </xf>
    <xf numFmtId="0" fontId="0" fillId="0" borderId="0" xfId="0" applyNumberFormat="1" applyFont="1" applyFill="1" applyBorder="1" applyAlignment="1" applyProtection="1">
      <alignment horizontal="left" indent="1"/>
      <protection/>
    </xf>
    <xf numFmtId="167" fontId="7" fillId="0" borderId="0" xfId="0" applyNumberFormat="1" applyFont="1" applyAlignment="1">
      <alignment horizontal="right"/>
    </xf>
    <xf numFmtId="166" fontId="6" fillId="0" borderId="0" xfId="0" applyNumberFormat="1" applyFont="1" applyBorder="1" applyAlignment="1">
      <alignment/>
    </xf>
    <xf numFmtId="166" fontId="6" fillId="0" borderId="0" xfId="0" applyNumberFormat="1" applyFont="1" applyAlignment="1">
      <alignment/>
    </xf>
    <xf numFmtId="0" fontId="17" fillId="0" borderId="2" xfId="0" applyNumberFormat="1" applyFont="1" applyBorder="1" applyAlignment="1">
      <alignment horizontal="center"/>
    </xf>
    <xf numFmtId="0" fontId="17" fillId="0" borderId="0" xfId="0" applyNumberFormat="1" applyFont="1" applyBorder="1" applyAlignment="1">
      <alignment horizontal="center"/>
    </xf>
    <xf numFmtId="166" fontId="15" fillId="0" borderId="0" xfId="0" applyNumberFormat="1" applyFont="1" applyAlignment="1">
      <alignment/>
    </xf>
    <xf numFmtId="166" fontId="7" fillId="0" borderId="0" xfId="0" applyNumberFormat="1" applyFont="1" applyFill="1" applyBorder="1" applyAlignment="1">
      <alignment/>
    </xf>
    <xf numFmtId="173" fontId="6" fillId="0" borderId="0" xfId="0" applyNumberFormat="1" applyFont="1" applyAlignment="1">
      <alignment/>
    </xf>
    <xf numFmtId="164" fontId="7" fillId="0" borderId="0" xfId="0" applyNumberFormat="1" applyFont="1" applyFill="1" applyBorder="1" applyAlignment="1">
      <alignment/>
    </xf>
    <xf numFmtId="1" fontId="5" fillId="0" borderId="0" xfId="0" applyNumberFormat="1" applyFont="1" applyBorder="1" applyAlignment="1">
      <alignment horizontal="center"/>
    </xf>
    <xf numFmtId="164" fontId="6" fillId="0" borderId="0" xfId="0" applyNumberFormat="1" applyFont="1" applyFill="1" applyBorder="1" applyAlignment="1">
      <alignment/>
    </xf>
    <xf numFmtId="0" fontId="0" fillId="0" borderId="0" xfId="0" applyFont="1" applyAlignment="1">
      <alignment horizontal="center"/>
    </xf>
    <xf numFmtId="1" fontId="5" fillId="0" borderId="0" xfId="0" applyNumberFormat="1" applyFont="1" applyAlignment="1">
      <alignment horizontal="center"/>
    </xf>
    <xf numFmtId="188" fontId="4" fillId="0" borderId="0" xfId="0" applyNumberFormat="1" applyFont="1" applyAlignment="1">
      <alignment horizontal="center"/>
    </xf>
    <xf numFmtId="170" fontId="0" fillId="0" borderId="0" xfId="0" applyNumberFormat="1" applyAlignment="1">
      <alignment horizontal="right"/>
    </xf>
    <xf numFmtId="0" fontId="14" fillId="0" borderId="0" xfId="0" applyNumberFormat="1" applyFont="1" applyBorder="1" applyAlignment="1">
      <alignment horizontal="center"/>
    </xf>
    <xf numFmtId="1" fontId="4" fillId="0" borderId="0" xfId="0" applyNumberFormat="1" applyFont="1" applyBorder="1" applyAlignment="1">
      <alignment horizontal="center"/>
    </xf>
    <xf numFmtId="176" fontId="0" fillId="0" borderId="0" xfId="0" applyNumberFormat="1" applyAlignment="1">
      <alignment horizontal="center"/>
    </xf>
    <xf numFmtId="168" fontId="0" fillId="0" borderId="0" xfId="0" applyNumberFormat="1" applyFont="1" applyAlignment="1">
      <alignment/>
    </xf>
    <xf numFmtId="0" fontId="0" fillId="0" borderId="0" xfId="0" applyAlignment="1" quotePrefix="1">
      <alignment/>
    </xf>
    <xf numFmtId="0" fontId="0" fillId="0" borderId="0" xfId="0" applyNumberFormat="1" applyFont="1" applyFill="1" applyBorder="1" applyAlignment="1" quotePrefix="1">
      <alignment/>
    </xf>
    <xf numFmtId="0" fontId="0" fillId="0" borderId="0" xfId="0" applyFont="1" applyAlignment="1" quotePrefix="1">
      <alignment/>
    </xf>
    <xf numFmtId="0" fontId="4" fillId="3" borderId="12" xfId="0" applyFont="1" applyFill="1" applyBorder="1" applyAlignment="1">
      <alignment horizontal="centerContinuous"/>
    </xf>
    <xf numFmtId="0" fontId="0" fillId="3" borderId="4" xfId="0" applyFill="1" applyBorder="1" applyAlignment="1">
      <alignment horizontal="centerContinuous"/>
    </xf>
    <xf numFmtId="0" fontId="0" fillId="3" borderId="5" xfId="0" applyFill="1" applyBorder="1" applyAlignment="1">
      <alignment horizontal="centerContinuous"/>
    </xf>
    <xf numFmtId="0" fontId="0" fillId="0" borderId="13" xfId="0" applyFont="1" applyBorder="1" applyAlignment="1">
      <alignment horizontal="centerContinuous"/>
    </xf>
    <xf numFmtId="0" fontId="0" fillId="0" borderId="9" xfId="0" applyBorder="1" applyAlignment="1">
      <alignment horizontal="centerContinuous"/>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0" fontId="0" fillId="0" borderId="12" xfId="0" applyBorder="1" applyAlignment="1">
      <alignment/>
    </xf>
    <xf numFmtId="170" fontId="17" fillId="0" borderId="4" xfId="0" applyNumberFormat="1" applyFont="1" applyBorder="1" applyAlignment="1">
      <alignment/>
    </xf>
    <xf numFmtId="170" fontId="5" fillId="0" borderId="5" xfId="0" applyNumberFormat="1" applyFont="1" applyBorder="1" applyAlignment="1">
      <alignment/>
    </xf>
    <xf numFmtId="0" fontId="0" fillId="0" borderId="14" xfId="0" applyBorder="1" applyAlignment="1">
      <alignment/>
    </xf>
    <xf numFmtId="168" fontId="17" fillId="0" borderId="7" xfId="0" applyNumberFormat="1" applyFont="1" applyBorder="1" applyAlignment="1">
      <alignment/>
    </xf>
    <xf numFmtId="168" fontId="17" fillId="0" borderId="8" xfId="0" applyNumberFormat="1" applyFont="1" applyBorder="1" applyAlignment="1">
      <alignment/>
    </xf>
    <xf numFmtId="0" fontId="0" fillId="0" borderId="15" xfId="0" applyBorder="1" applyAlignment="1">
      <alignment/>
    </xf>
    <xf numFmtId="0" fontId="5" fillId="0" borderId="0" xfId="0" applyFont="1" applyBorder="1" applyAlignment="1">
      <alignment horizontal="right"/>
    </xf>
    <xf numFmtId="170" fontId="17" fillId="0" borderId="6" xfId="0" applyNumberFormat="1" applyFont="1" applyBorder="1" applyAlignment="1">
      <alignment/>
    </xf>
    <xf numFmtId="168" fontId="5" fillId="0" borderId="7" xfId="0" applyNumberFormat="1" applyFont="1" applyBorder="1" applyAlignment="1">
      <alignment horizontal="right"/>
    </xf>
    <xf numFmtId="0" fontId="18" fillId="0" borderId="0" xfId="0" applyFont="1" applyAlignment="1">
      <alignment/>
    </xf>
    <xf numFmtId="0" fontId="5" fillId="4" borderId="0" xfId="0" applyFont="1" applyFill="1" applyAlignment="1">
      <alignment/>
    </xf>
    <xf numFmtId="170" fontId="5" fillId="0" borderId="0" xfId="0" applyNumberFormat="1" applyFont="1" applyBorder="1" applyAlignment="1">
      <alignment/>
    </xf>
    <xf numFmtId="189" fontId="0" fillId="0" borderId="0" xfId="0" applyNumberFormat="1" applyAlignment="1">
      <alignment/>
    </xf>
    <xf numFmtId="168" fontId="24" fillId="0" borderId="0" xfId="0" applyNumberFormat="1" applyFont="1" applyAlignment="1">
      <alignment/>
    </xf>
    <xf numFmtId="170" fontId="24" fillId="0" borderId="0" xfId="0" applyNumberFormat="1" applyFont="1" applyFill="1" applyBorder="1" applyAlignment="1">
      <alignment/>
    </xf>
    <xf numFmtId="0" fontId="0" fillId="3" borderId="0" xfId="0" applyFill="1" applyAlignment="1">
      <alignment/>
    </xf>
    <xf numFmtId="0" fontId="4" fillId="3" borderId="0" xfId="0" applyFont="1" applyFill="1" applyBorder="1" applyAlignment="1">
      <alignment horizontal="centerContinuous"/>
    </xf>
    <xf numFmtId="0" fontId="4" fillId="3" borderId="7" xfId="0" applyFont="1" applyFill="1" applyBorder="1" applyAlignment="1">
      <alignment horizontal="centerContinuous"/>
    </xf>
    <xf numFmtId="0" fontId="0" fillId="3" borderId="7" xfId="0" applyFill="1" applyBorder="1" applyAlignment="1">
      <alignment horizontal="centerContinuous"/>
    </xf>
    <xf numFmtId="0" fontId="0" fillId="3" borderId="8" xfId="0" applyFill="1" applyBorder="1" applyAlignment="1">
      <alignment horizontal="centerContinuous"/>
    </xf>
    <xf numFmtId="0" fontId="0" fillId="0" borderId="10" xfId="0" applyBorder="1" applyAlignment="1">
      <alignment horizontal="centerContinuous"/>
    </xf>
    <xf numFmtId="0" fontId="13" fillId="0" borderId="9" xfId="0" applyFont="1" applyBorder="1" applyAlignment="1">
      <alignment horizontal="centerContinuous"/>
    </xf>
    <xf numFmtId="0" fontId="4" fillId="0" borderId="10" xfId="0" applyFont="1" applyBorder="1" applyAlignment="1">
      <alignment horizontal="centerContinuous"/>
    </xf>
    <xf numFmtId="0" fontId="4" fillId="0" borderId="9" xfId="0" applyFont="1" applyBorder="1" applyAlignment="1">
      <alignment horizontal="centerContinuous"/>
    </xf>
    <xf numFmtId="168" fontId="17" fillId="0" borderId="0" xfId="0" applyNumberFormat="1" applyFont="1" applyBorder="1" applyAlignment="1">
      <alignment/>
    </xf>
    <xf numFmtId="0" fontId="4" fillId="3" borderId="16" xfId="0" applyFont="1" applyFill="1" applyBorder="1" applyAlignment="1">
      <alignment horizontal="centerContinuous"/>
    </xf>
    <xf numFmtId="0" fontId="4" fillId="3" borderId="17" xfId="0" applyFont="1" applyFill="1" applyBorder="1" applyAlignment="1">
      <alignment horizontal="center"/>
    </xf>
    <xf numFmtId="166" fontId="7" fillId="0" borderId="18" xfId="0" applyNumberFormat="1" applyFont="1" applyBorder="1" applyAlignment="1">
      <alignment/>
    </xf>
    <xf numFmtId="168" fontId="0" fillId="0" borderId="18" xfId="0" applyNumberFormat="1" applyBorder="1" applyAlignment="1">
      <alignment/>
    </xf>
    <xf numFmtId="0" fontId="5" fillId="0" borderId="18" xfId="0" applyNumberFormat="1" applyFont="1" applyBorder="1" applyAlignment="1">
      <alignment horizontal="center"/>
    </xf>
    <xf numFmtId="168" fontId="17" fillId="0" borderId="11" xfId="0" applyNumberFormat="1" applyFont="1" applyBorder="1" applyAlignment="1">
      <alignment/>
    </xf>
    <xf numFmtId="0" fontId="5"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Hyperlink" xfId="19"/>
    <cellStyle name="Normal_Seevers_Clean Stub Long Form Model2" xfId="20"/>
    <cellStyle name="Percent" xfId="21"/>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27"/>
  <sheetViews>
    <sheetView showGridLines="0" tabSelected="1" zoomScale="80" zoomScaleNormal="80" workbookViewId="0" topLeftCell="A256">
      <selection activeCell="A267" sqref="A267"/>
    </sheetView>
  </sheetViews>
  <sheetFormatPr defaultColWidth="9.140625" defaultRowHeight="12.75"/>
  <cols>
    <col min="1" max="2" width="1.7109375" style="0" customWidth="1"/>
    <col min="3" max="5" width="9.7109375" style="0" customWidth="1"/>
    <col min="6" max="6" width="1.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2" width="1.7109375" style="0" customWidth="1"/>
    <col min="23" max="23" width="9.7109375" style="0" customWidth="1"/>
    <col min="24" max="24" width="1.7109375" style="0" customWidth="1"/>
    <col min="25" max="25" width="9.7109375" style="0" customWidth="1"/>
    <col min="26" max="26" width="1.7109375" style="0" customWidth="1"/>
    <col min="27" max="27" width="9.7109375" style="0" customWidth="1"/>
    <col min="28" max="28" width="1.7109375" style="0" customWidth="1"/>
    <col min="29" max="29" width="9.7109375" style="0" customWidth="1"/>
    <col min="30" max="30" width="1.7109375" style="0" customWidth="1"/>
    <col min="32" max="32" width="1.7109375" style="0" customWidth="1"/>
    <col min="34" max="34" width="1.7109375" style="0" customWidth="1"/>
    <col min="36" max="36" width="1.7109375" style="0" customWidth="1"/>
    <col min="37" max="37" width="9.7109375" style="0" customWidth="1"/>
    <col min="38" max="38" width="1.7109375" style="0" customWidth="1"/>
    <col min="39" max="39" width="9.7109375" style="0" customWidth="1"/>
    <col min="40" max="40" width="1.7109375" style="0" customWidth="1"/>
    <col min="42" max="42" width="1.7109375" style="0" customWidth="1"/>
  </cols>
  <sheetData>
    <row r="1" spans="1:35" ht="24" customHeight="1" thickBot="1">
      <c r="A1" s="1" t="str">
        <f>AI35&amp;" LBO Valuation"</f>
        <v>TargetCo LBO Valuation</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3" ht="13.5" thickBot="1">
      <c r="A2" s="3" t="s">
        <v>0</v>
      </c>
      <c r="AK2" s="20" t="s">
        <v>112</v>
      </c>
      <c r="AL2" s="21"/>
      <c r="AM2" s="20"/>
      <c r="AN2" s="21"/>
      <c r="AO2" s="21"/>
      <c r="AP2" s="21"/>
      <c r="AQ2" s="21"/>
    </row>
    <row r="3" spans="39:43" ht="12.75">
      <c r="AM3" s="110" t="s">
        <v>113</v>
      </c>
      <c r="AO3" s="110" t="s">
        <v>114</v>
      </c>
      <c r="AQ3" s="110" t="s">
        <v>115</v>
      </c>
    </row>
    <row r="4" spans="1:43" ht="13.5" customHeight="1" thickBot="1">
      <c r="A4" s="4" t="s">
        <v>224</v>
      </c>
      <c r="B4" s="4"/>
      <c r="C4" s="4"/>
      <c r="D4" s="4"/>
      <c r="E4" s="4"/>
      <c r="F4" s="4"/>
      <c r="G4" s="4"/>
      <c r="H4" s="4"/>
      <c r="I4" s="4"/>
      <c r="J4" s="4"/>
      <c r="K4" s="4"/>
      <c r="L4" s="4"/>
      <c r="M4" s="4"/>
      <c r="N4" s="4"/>
      <c r="O4" s="4"/>
      <c r="P4" s="4"/>
      <c r="Q4" s="4"/>
      <c r="S4" s="4" t="s">
        <v>1</v>
      </c>
      <c r="T4" s="4"/>
      <c r="U4" s="4"/>
      <c r="V4" s="4"/>
      <c r="W4" s="4"/>
      <c r="X4" s="4"/>
      <c r="Y4" s="4"/>
      <c r="AA4" s="4" t="s">
        <v>261</v>
      </c>
      <c r="AB4" s="4"/>
      <c r="AC4" s="4"/>
      <c r="AD4" s="4"/>
      <c r="AE4" s="4"/>
      <c r="AF4" s="4"/>
      <c r="AG4" s="4"/>
      <c r="AH4" s="4"/>
      <c r="AI4" s="4"/>
      <c r="AK4" s="5"/>
      <c r="AL4" s="5"/>
      <c r="AM4" s="111" t="s">
        <v>116</v>
      </c>
      <c r="AN4" s="5"/>
      <c r="AO4" s="111" t="s">
        <v>117</v>
      </c>
      <c r="AP4" s="5"/>
      <c r="AQ4" s="111" t="s">
        <v>118</v>
      </c>
    </row>
    <row r="5" spans="37:43" ht="12.75">
      <c r="AK5" t="s">
        <v>119</v>
      </c>
      <c r="AM5" s="71">
        <v>0.209</v>
      </c>
      <c r="AO5" s="7">
        <v>9.04</v>
      </c>
      <c r="AQ5" s="112">
        <f aca="true" t="shared" si="0" ref="AQ5:AQ14">IF(AO5&gt;trans_price,0,AM5-AM5*AO5/trans_price)</f>
        <v>0.09100718188914911</v>
      </c>
    </row>
    <row r="6" spans="9:43" ht="12.75" customHeight="1">
      <c r="I6" s="22" t="s">
        <v>225</v>
      </c>
      <c r="K6" s="22" t="s">
        <v>203</v>
      </c>
      <c r="M6" s="22" t="s">
        <v>226</v>
      </c>
      <c r="Q6" s="22" t="s">
        <v>231</v>
      </c>
      <c r="S6" t="s">
        <v>2</v>
      </c>
      <c r="Y6" s="7">
        <v>12.81</v>
      </c>
      <c r="AA6" t="s">
        <v>262</v>
      </c>
      <c r="AI6" s="9">
        <v>0.25</v>
      </c>
      <c r="AK6" t="s">
        <v>120</v>
      </c>
      <c r="AM6" s="71">
        <v>0.059</v>
      </c>
      <c r="AO6" s="113">
        <v>10.03</v>
      </c>
      <c r="AQ6" s="112">
        <f t="shared" si="0"/>
        <v>0.022043247462919593</v>
      </c>
    </row>
    <row r="7" spans="7:43" s="6" customFormat="1" ht="13.5" customHeight="1" thickBot="1">
      <c r="G7" s="26" t="s">
        <v>227</v>
      </c>
      <c r="H7" s="5"/>
      <c r="I7" s="26" t="s">
        <v>228</v>
      </c>
      <c r="J7" s="5"/>
      <c r="K7" s="26" t="s">
        <v>30</v>
      </c>
      <c r="L7" s="5"/>
      <c r="M7" s="26" t="s">
        <v>229</v>
      </c>
      <c r="N7" s="5"/>
      <c r="O7" s="26" t="s">
        <v>230</v>
      </c>
      <c r="P7" s="5"/>
      <c r="Q7" s="26" t="s">
        <v>232</v>
      </c>
      <c r="S7" t="s">
        <v>3</v>
      </c>
      <c r="T7"/>
      <c r="U7"/>
      <c r="V7"/>
      <c r="W7"/>
      <c r="X7"/>
      <c r="Y7" s="9">
        <v>0.25</v>
      </c>
      <c r="AA7" t="s">
        <v>263</v>
      </c>
      <c r="AB7"/>
      <c r="AC7"/>
      <c r="AD7"/>
      <c r="AE7"/>
      <c r="AF7"/>
      <c r="AG7"/>
      <c r="AH7"/>
      <c r="AI7" s="54">
        <v>5</v>
      </c>
      <c r="AK7" t="s">
        <v>121</v>
      </c>
      <c r="AL7"/>
      <c r="AM7" s="71">
        <v>0.221</v>
      </c>
      <c r="AN7"/>
      <c r="AO7" s="113">
        <v>11.53</v>
      </c>
      <c r="AP7"/>
      <c r="AQ7" s="112">
        <f t="shared" si="0"/>
        <v>0.06186619828259171</v>
      </c>
    </row>
    <row r="8" spans="1:43" ht="13.5" customHeight="1">
      <c r="A8" s="83" t="s">
        <v>204</v>
      </c>
      <c r="B8" s="83"/>
      <c r="S8" s="157" t="s">
        <v>4</v>
      </c>
      <c r="U8" s="5"/>
      <c r="V8" s="5"/>
      <c r="W8" s="5"/>
      <c r="X8" s="5"/>
      <c r="Y8" s="11">
        <f>Y6*(1+Y7)</f>
        <v>16.0125</v>
      </c>
      <c r="AA8" t="s">
        <v>264</v>
      </c>
      <c r="AI8" s="77">
        <v>15</v>
      </c>
      <c r="AK8" t="s">
        <v>122</v>
      </c>
      <c r="AM8" s="71">
        <v>0.3</v>
      </c>
      <c r="AO8" s="113">
        <v>12.69</v>
      </c>
      <c r="AQ8" s="112">
        <f t="shared" si="0"/>
        <v>0.062248243559718974</v>
      </c>
    </row>
    <row r="9" spans="2:43" ht="12.75">
      <c r="B9" t="s">
        <v>206</v>
      </c>
      <c r="G9" s="76">
        <f>S357</f>
        <v>116.606</v>
      </c>
      <c r="I9" s="33">
        <f>G9/$G$28</f>
        <v>0.14303229720995186</v>
      </c>
      <c r="K9" s="145">
        <f>G9/ltm_ebitda</f>
        <v>0.9668822553897183</v>
      </c>
      <c r="M9" s="160">
        <f>Q28</f>
        <v>0.02</v>
      </c>
      <c r="AA9" t="s">
        <v>265</v>
      </c>
      <c r="AI9" s="54">
        <v>8</v>
      </c>
      <c r="AK9" t="s">
        <v>123</v>
      </c>
      <c r="AM9" s="71">
        <v>0.269</v>
      </c>
      <c r="AO9" s="113">
        <v>19.54</v>
      </c>
      <c r="AQ9" s="112">
        <f t="shared" si="0"/>
        <v>0</v>
      </c>
    </row>
    <row r="10" spans="2:43" s="10" customFormat="1" ht="13.5" customHeight="1">
      <c r="B10" s="5" t="s">
        <v>207</v>
      </c>
      <c r="G10" s="119">
        <f>S358</f>
        <v>230</v>
      </c>
      <c r="I10" s="33">
        <f>G10/$G$28</f>
        <v>0.2821246621810964</v>
      </c>
      <c r="K10" s="145">
        <f>G10/ltm_ebitda</f>
        <v>1.9071310116086242</v>
      </c>
      <c r="M10" s="160">
        <f>AO21</f>
        <v>0.025</v>
      </c>
      <c r="Q10" s="169">
        <f>M203</f>
        <v>0</v>
      </c>
      <c r="S10" s="24" t="s">
        <v>143</v>
      </c>
      <c r="Y10" s="117">
        <f>AQ27</f>
        <v>35.15916487119438</v>
      </c>
      <c r="AK10" t="s">
        <v>124</v>
      </c>
      <c r="AL10"/>
      <c r="AM10" s="71">
        <v>0.211</v>
      </c>
      <c r="AN10"/>
      <c r="AO10" s="113">
        <v>27.06</v>
      </c>
      <c r="AP10"/>
      <c r="AQ10" s="112">
        <f t="shared" si="0"/>
        <v>0</v>
      </c>
    </row>
    <row r="11" spans="2:43" ht="12.75" customHeight="1">
      <c r="B11" t="s">
        <v>223</v>
      </c>
      <c r="G11" s="119">
        <f>S359</f>
        <v>0</v>
      </c>
      <c r="I11" s="33">
        <f>G11/$G$28</f>
        <v>0</v>
      </c>
      <c r="K11" s="145">
        <f>G11/ltm_ebitda</f>
        <v>0</v>
      </c>
      <c r="M11" s="158"/>
      <c r="S11" s="24" t="s">
        <v>144</v>
      </c>
      <c r="Y11" s="121">
        <f>Y10*Y8</f>
        <v>562.9861275</v>
      </c>
      <c r="AA11" s="24" t="s">
        <v>266</v>
      </c>
      <c r="AB11" s="10"/>
      <c r="AC11" s="10"/>
      <c r="AD11" s="10"/>
      <c r="AE11" s="10"/>
      <c r="AF11" s="10"/>
      <c r="AG11" s="10"/>
      <c r="AH11" s="10"/>
      <c r="AI11" s="9">
        <v>0.35</v>
      </c>
      <c r="AK11" t="s">
        <v>125</v>
      </c>
      <c r="AM11" s="71">
        <v>0.187</v>
      </c>
      <c r="AO11" s="113">
        <v>45.75</v>
      </c>
      <c r="AQ11" s="112">
        <f t="shared" si="0"/>
        <v>0</v>
      </c>
    </row>
    <row r="12" spans="2:43" ht="12.75" customHeight="1" thickBot="1">
      <c r="B12" t="s">
        <v>233</v>
      </c>
      <c r="I12" s="19"/>
      <c r="S12" s="6" t="s">
        <v>145</v>
      </c>
      <c r="Y12" s="122">
        <f>AQ34</f>
        <v>83.394</v>
      </c>
      <c r="AA12" s="24" t="s">
        <v>267</v>
      </c>
      <c r="AI12" s="89">
        <v>0</v>
      </c>
      <c r="AK12" t="s">
        <v>126</v>
      </c>
      <c r="AM12" s="71">
        <v>0</v>
      </c>
      <c r="AO12" s="113">
        <v>0</v>
      </c>
      <c r="AQ12" s="112">
        <f t="shared" si="0"/>
        <v>0</v>
      </c>
    </row>
    <row r="13" spans="3:43" ht="13.5" customHeight="1" thickBot="1">
      <c r="C13" t="str">
        <f>B360</f>
        <v>Revolver</v>
      </c>
      <c r="G13" s="37">
        <f>S360</f>
        <v>0</v>
      </c>
      <c r="I13" s="33">
        <f>G13/$G$28</f>
        <v>0</v>
      </c>
      <c r="K13" s="145">
        <f aca="true" t="shared" si="1" ref="K13:K19">G13/ltm_ebitda</f>
        <v>0</v>
      </c>
      <c r="M13" s="160">
        <f>libor+O13/10000</f>
        <v>0.0703</v>
      </c>
      <c r="O13" s="165">
        <f>M188*10000</f>
        <v>425.00000000000006</v>
      </c>
      <c r="S13" s="157" t="s">
        <v>146</v>
      </c>
      <c r="Y13" s="106">
        <f>SUM(Y11:Y12)</f>
        <v>646.3801275</v>
      </c>
      <c r="AK13" t="s">
        <v>127</v>
      </c>
      <c r="AM13" s="71">
        <v>0</v>
      </c>
      <c r="AO13" s="113">
        <v>0</v>
      </c>
      <c r="AQ13" s="112">
        <f t="shared" si="0"/>
        <v>0</v>
      </c>
    </row>
    <row r="14" spans="3:43" ht="13.5" customHeight="1" thickTop="1">
      <c r="C14" t="str">
        <f aca="true" t="shared" si="2" ref="C14:C19">B361</f>
        <v>Term Loan - A</v>
      </c>
      <c r="G14" s="37">
        <f aca="true" t="shared" si="3" ref="G14:G19">S361</f>
        <v>150</v>
      </c>
      <c r="I14" s="33">
        <f>G14/$G$28</f>
        <v>0.18399434490071506</v>
      </c>
      <c r="K14" s="145">
        <f t="shared" si="1"/>
        <v>1.2437810945273635</v>
      </c>
      <c r="M14" s="160">
        <f>libor+O14/10000</f>
        <v>0.07569999999999999</v>
      </c>
      <c r="O14" s="165">
        <f>M189*10000</f>
        <v>479</v>
      </c>
      <c r="Q14" s="169">
        <f aca="true" t="shared" si="4" ref="Q14:Q19">M204</f>
        <v>0</v>
      </c>
      <c r="AA14" t="s">
        <v>268</v>
      </c>
      <c r="AI14" s="175">
        <f>1-LBO</f>
        <v>0</v>
      </c>
      <c r="AK14" s="5" t="s">
        <v>128</v>
      </c>
      <c r="AL14" s="5"/>
      <c r="AM14" s="71">
        <v>0</v>
      </c>
      <c r="AN14" s="5"/>
      <c r="AO14" s="113">
        <v>0</v>
      </c>
      <c r="AP14" s="5"/>
      <c r="AQ14" s="112">
        <f t="shared" si="0"/>
        <v>0</v>
      </c>
    </row>
    <row r="15" spans="3:43" ht="13.5" customHeight="1" thickBot="1">
      <c r="C15" t="str">
        <f t="shared" si="2"/>
        <v>Term Loan - B</v>
      </c>
      <c r="G15" s="37">
        <f t="shared" si="3"/>
        <v>0</v>
      </c>
      <c r="I15" s="33">
        <f>G15/$G$28</f>
        <v>0</v>
      </c>
      <c r="K15" s="145">
        <f t="shared" si="1"/>
        <v>0</v>
      </c>
      <c r="M15" s="160">
        <f>libor+O15/10000</f>
        <v>0.08779999999999999</v>
      </c>
      <c r="O15" s="165">
        <f>M190*10000</f>
        <v>600</v>
      </c>
      <c r="Q15" s="169">
        <f t="shared" si="4"/>
        <v>0</v>
      </c>
      <c r="S15" s="20" t="s">
        <v>147</v>
      </c>
      <c r="T15" s="21"/>
      <c r="U15" s="20"/>
      <c r="V15" s="21"/>
      <c r="W15" s="21"/>
      <c r="X15" s="21"/>
      <c r="Y15" s="21"/>
      <c r="AC15" s="10"/>
      <c r="AD15" s="10"/>
      <c r="AE15" s="10"/>
      <c r="AF15" s="10"/>
      <c r="AG15" s="10"/>
      <c r="AH15" s="10"/>
      <c r="AI15" s="10"/>
      <c r="AP15" s="10"/>
      <c r="AQ15" s="10"/>
    </row>
    <row r="16" spans="3:43" ht="13.5" customHeight="1" thickBot="1">
      <c r="C16" t="str">
        <f t="shared" si="2"/>
        <v>Senior Note</v>
      </c>
      <c r="G16" s="37">
        <f t="shared" si="3"/>
        <v>75</v>
      </c>
      <c r="I16" s="33">
        <f aca="true" t="shared" si="5" ref="I16:I27">G16/$G$28</f>
        <v>0.09199717245035753</v>
      </c>
      <c r="K16" s="145">
        <f t="shared" si="1"/>
        <v>0.6218905472636818</v>
      </c>
      <c r="M16" s="160">
        <f>libor+O16/10000</f>
        <v>0.0928</v>
      </c>
      <c r="O16" s="165">
        <f>M191*10000</f>
        <v>650</v>
      </c>
      <c r="Q16" s="169">
        <f t="shared" si="4"/>
        <v>0</v>
      </c>
      <c r="W16" s="26" t="s">
        <v>148</v>
      </c>
      <c r="Y16" s="26" t="s">
        <v>149</v>
      </c>
      <c r="AA16" t="s">
        <v>144</v>
      </c>
      <c r="AC16" s="10"/>
      <c r="AD16" s="10"/>
      <c r="AE16" s="10"/>
      <c r="AF16" s="10"/>
      <c r="AG16" s="10"/>
      <c r="AH16" s="10"/>
      <c r="AI16" s="176">
        <f>Y11</f>
        <v>562.9861275</v>
      </c>
      <c r="AK16" s="20" t="s">
        <v>129</v>
      </c>
      <c r="AL16" s="21"/>
      <c r="AM16" s="20"/>
      <c r="AN16" s="21"/>
      <c r="AO16" s="21"/>
      <c r="AP16" s="21"/>
      <c r="AQ16" s="21"/>
    </row>
    <row r="17" spans="3:43" ht="13.5" customHeight="1" thickBot="1">
      <c r="C17" t="str">
        <f t="shared" si="2"/>
        <v>Subordinated Note</v>
      </c>
      <c r="G17" s="37">
        <f t="shared" si="3"/>
        <v>0</v>
      </c>
      <c r="I17" s="33">
        <f t="shared" si="5"/>
        <v>0</v>
      </c>
      <c r="K17" s="145">
        <f t="shared" si="1"/>
        <v>0</v>
      </c>
      <c r="M17" s="160">
        <f>O192</f>
        <v>0.1025</v>
      </c>
      <c r="Q17" s="169">
        <f t="shared" si="4"/>
        <v>5</v>
      </c>
      <c r="S17" t="s">
        <v>150</v>
      </c>
      <c r="W17" s="121">
        <f>M50</f>
        <v>420.4</v>
      </c>
      <c r="Y17" s="123">
        <f>$Y$13/W17</f>
        <v>1.53753598358706</v>
      </c>
      <c r="AA17" t="s">
        <v>269</v>
      </c>
      <c r="AC17" s="10"/>
      <c r="AD17" s="10"/>
      <c r="AE17" s="10"/>
      <c r="AF17" s="10"/>
      <c r="AG17" s="10"/>
      <c r="AH17" s="10"/>
      <c r="AI17" s="54">
        <v>0</v>
      </c>
      <c r="AO17" s="111" t="s">
        <v>130</v>
      </c>
      <c r="AQ17" s="111" t="s">
        <v>131</v>
      </c>
    </row>
    <row r="18" spans="3:43" ht="13.5" customHeight="1" thickBot="1">
      <c r="C18" t="str">
        <f t="shared" si="2"/>
        <v>Mezzanine</v>
      </c>
      <c r="G18" s="37">
        <f t="shared" si="3"/>
        <v>0</v>
      </c>
      <c r="I18" s="33">
        <f t="shared" si="5"/>
        <v>0</v>
      </c>
      <c r="K18" s="145">
        <f t="shared" si="1"/>
        <v>0</v>
      </c>
      <c r="M18" s="160">
        <f>O193</f>
        <v>0.105</v>
      </c>
      <c r="Q18" s="169">
        <f t="shared" si="4"/>
        <v>0</v>
      </c>
      <c r="S18" s="124" t="str">
        <f>"FY "&amp;Q48&amp;" PF Sales"</f>
        <v>FY 2008 PF Sales</v>
      </c>
      <c r="W18" s="122">
        <f>Q50</f>
        <v>458.09999999999997</v>
      </c>
      <c r="Y18" s="123">
        <f>$Y$13/W18</f>
        <v>1.4110022429600524</v>
      </c>
      <c r="AA18" t="s">
        <v>270</v>
      </c>
      <c r="AI18" s="122">
        <f>-I162*LBO</f>
        <v>-97.8530000000001</v>
      </c>
      <c r="AK18" t="s">
        <v>132</v>
      </c>
      <c r="AL18" s="10"/>
      <c r="AM18" s="10"/>
      <c r="AN18" s="10"/>
      <c r="AO18" s="77">
        <v>230</v>
      </c>
      <c r="AQ18" s="77">
        <v>0</v>
      </c>
    </row>
    <row r="19" spans="3:43" ht="13.5" customHeight="1">
      <c r="C19" t="str">
        <f t="shared" si="2"/>
        <v>Seller Note</v>
      </c>
      <c r="G19" s="37">
        <f t="shared" si="3"/>
        <v>0</v>
      </c>
      <c r="I19" s="33">
        <f t="shared" si="5"/>
        <v>0</v>
      </c>
      <c r="K19" s="145">
        <f t="shared" si="1"/>
        <v>0</v>
      </c>
      <c r="M19" s="160">
        <f>O194</f>
        <v>0.105</v>
      </c>
      <c r="Q19" s="169">
        <f t="shared" si="4"/>
        <v>2</v>
      </c>
      <c r="S19" s="124" t="str">
        <f>"FY "&amp;S48&amp;" PF Sales"</f>
        <v>FY 2009 PF Sales</v>
      </c>
      <c r="W19" s="122">
        <f>S50</f>
        <v>467.99999999999994</v>
      </c>
      <c r="Y19" s="123">
        <f>$Y$13/W19</f>
        <v>1.3811541185897436</v>
      </c>
      <c r="AA19" s="120" t="s">
        <v>271</v>
      </c>
      <c r="AI19" s="92">
        <f>SUM(AI16:AI18)</f>
        <v>465.1331274999999</v>
      </c>
      <c r="AK19" t="s">
        <v>133</v>
      </c>
      <c r="AO19" s="114">
        <v>26.77</v>
      </c>
      <c r="AQ19" s="115" t="s">
        <v>24</v>
      </c>
    </row>
    <row r="20" spans="2:43" ht="13.5" customHeight="1">
      <c r="B20" t="s">
        <v>234</v>
      </c>
      <c r="I20" s="19"/>
      <c r="AA20" t="s">
        <v>272</v>
      </c>
      <c r="AK20" t="s">
        <v>134</v>
      </c>
      <c r="AO20" s="112">
        <f>IF(ISERROR(AO18/AO19),0,AO18/AO19)</f>
        <v>8.591707134852447</v>
      </c>
      <c r="AQ20" s="112">
        <f>IF(ISERROR(AQ18/AQ19),0,AQ18/AQ19)</f>
        <v>0</v>
      </c>
    </row>
    <row r="21" spans="3:43" ht="12.75">
      <c r="C21" t="str">
        <f>B367</f>
        <v>Preferred Stock - A</v>
      </c>
      <c r="G21" s="37">
        <f>S367</f>
        <v>10</v>
      </c>
      <c r="I21" s="33">
        <f t="shared" si="5"/>
        <v>0.01226628966004767</v>
      </c>
      <c r="K21" s="145">
        <f>G21/ltm_ebitda</f>
        <v>0.08291873963515757</v>
      </c>
      <c r="M21" s="160">
        <f>O195</f>
        <v>0.14</v>
      </c>
      <c r="Q21" s="170">
        <v>3</v>
      </c>
      <c r="S21" t="s">
        <v>151</v>
      </c>
      <c r="W21" s="121">
        <f>ltm_ebitda</f>
        <v>120.59999999999997</v>
      </c>
      <c r="Y21" s="125">
        <f>$Y$13/W21</f>
        <v>5.359702549751245</v>
      </c>
      <c r="AA21" s="120" t="s">
        <v>264</v>
      </c>
      <c r="AG21" s="76">
        <f>AI8</f>
        <v>15</v>
      </c>
      <c r="AK21" t="s">
        <v>135</v>
      </c>
      <c r="AO21" s="116">
        <v>0.025</v>
      </c>
      <c r="AQ21" s="116">
        <v>0</v>
      </c>
    </row>
    <row r="22" spans="3:33" ht="12.75">
      <c r="C22" t="str">
        <f>B368</f>
        <v>Preferred Stock - B</v>
      </c>
      <c r="G22" s="37">
        <f>S368</f>
        <v>0</v>
      </c>
      <c r="I22" s="33">
        <f t="shared" si="5"/>
        <v>0</v>
      </c>
      <c r="K22" s="145">
        <f>G22/ltm_ebitda</f>
        <v>0</v>
      </c>
      <c r="M22" s="160">
        <f>O196</f>
        <v>0.1425</v>
      </c>
      <c r="Q22" s="170">
        <v>3</v>
      </c>
      <c r="S22" s="124" t="str">
        <f>"FY "&amp;Q48&amp;" PF EBITDA"</f>
        <v>FY 2008 PF EBITDA</v>
      </c>
      <c r="W22" s="122">
        <f>Q60</f>
        <v>130.2</v>
      </c>
      <c r="Y22" s="125">
        <f>$Y$13/W22</f>
        <v>4.964517108294931</v>
      </c>
      <c r="AA22" s="120" t="s">
        <v>273</v>
      </c>
      <c r="AG22" s="37">
        <f>AI6*AI19</f>
        <v>116.28328187499997</v>
      </c>
    </row>
    <row r="23" spans="2:43" ht="13.5" thickBot="1">
      <c r="B23" t="s">
        <v>235</v>
      </c>
      <c r="I23" s="19"/>
      <c r="S23" s="124" t="str">
        <f>"FY "&amp;S48&amp;" PF EBITDA"</f>
        <v>FY 2009 PF EBITDA</v>
      </c>
      <c r="W23" s="122">
        <f>S60</f>
        <v>156.5</v>
      </c>
      <c r="Y23" s="125">
        <f>$Y$13/W23</f>
        <v>4.130224456869009</v>
      </c>
      <c r="AA23" s="120" t="s">
        <v>274</v>
      </c>
      <c r="AG23" s="37">
        <f>-I133</f>
        <v>-61.094</v>
      </c>
      <c r="AK23" s="20" t="s">
        <v>136</v>
      </c>
      <c r="AL23" s="21"/>
      <c r="AM23" s="20"/>
      <c r="AN23" s="21"/>
      <c r="AO23" s="21"/>
      <c r="AP23" s="21"/>
      <c r="AQ23" s="21"/>
    </row>
    <row r="24" spans="3:43" ht="12.75">
      <c r="C24" t="str">
        <f>B369</f>
        <v>Common - Sponsor</v>
      </c>
      <c r="G24" s="37">
        <f>S369</f>
        <v>233.6364471574999</v>
      </c>
      <c r="I24" s="33">
        <f t="shared" si="5"/>
        <v>0.2865852335978315</v>
      </c>
      <c r="K24" s="145">
        <f>G24/ltm_ebitda</f>
        <v>1.9372839731135985</v>
      </c>
      <c r="M24" s="4" t="s">
        <v>152</v>
      </c>
      <c r="N24" s="126"/>
      <c r="O24" s="126"/>
      <c r="P24" s="126"/>
      <c r="Q24" s="126"/>
      <c r="AA24" s="120" t="s">
        <v>371</v>
      </c>
      <c r="AG24" s="37">
        <f>Q302*tax_rate</f>
        <v>0</v>
      </c>
      <c r="AK24" t="s">
        <v>137</v>
      </c>
      <c r="AQ24" s="71">
        <v>34.922</v>
      </c>
    </row>
    <row r="25" spans="3:43" ht="12.75">
      <c r="C25" t="str">
        <f>B370</f>
        <v>Management Rollover</v>
      </c>
      <c r="G25" s="37">
        <f>S370</f>
        <v>0</v>
      </c>
      <c r="I25" s="33">
        <f t="shared" si="5"/>
        <v>0</v>
      </c>
      <c r="K25" s="145">
        <f>G25/ltm_ebitda</f>
        <v>0</v>
      </c>
      <c r="S25" s="4" t="s">
        <v>60</v>
      </c>
      <c r="T25" s="4"/>
      <c r="U25" s="4"/>
      <c r="V25" s="4"/>
      <c r="W25" s="4"/>
      <c r="X25" s="4"/>
      <c r="Y25" s="4"/>
      <c r="AA25" s="120" t="s">
        <v>275</v>
      </c>
      <c r="AG25" s="37">
        <f>I147</f>
        <v>0</v>
      </c>
      <c r="AK25" t="s">
        <v>138</v>
      </c>
      <c r="AQ25" s="117">
        <f>SUM(AQ5:AQ14)</f>
        <v>0.2371648711943794</v>
      </c>
    </row>
    <row r="26" spans="3:43" ht="13.5" thickBot="1">
      <c r="C26" t="str">
        <f>B371</f>
        <v>Investor Rollover</v>
      </c>
      <c r="G26" s="37">
        <f>S371</f>
        <v>0</v>
      </c>
      <c r="I26" s="33">
        <f t="shared" si="5"/>
        <v>0</v>
      </c>
      <c r="K26" s="145">
        <f>G26/ltm_ebitda</f>
        <v>0</v>
      </c>
      <c r="M26" t="s">
        <v>153</v>
      </c>
      <c r="Q26" s="127">
        <v>0.0278</v>
      </c>
      <c r="AA26" s="120" t="s">
        <v>276</v>
      </c>
      <c r="AG26" s="37">
        <f>-SUM(AG21:AG22)*tax_rate*(1-AI12)</f>
        <v>-45.94914865624999</v>
      </c>
      <c r="AI26" s="76">
        <f>-SUM(AG21:AG26)</f>
        <v>-24.24013321874999</v>
      </c>
      <c r="AK26" t="s">
        <v>139</v>
      </c>
      <c r="AQ26" s="117">
        <f>IF(AO19&gt;trans_price,0,AO20)+IF(AQ19&gt;trans_price,0,AQ20)</f>
        <v>0</v>
      </c>
    </row>
    <row r="27" spans="3:43" ht="13.5" thickBot="1">
      <c r="C27" t="str">
        <f>B372</f>
        <v>Other</v>
      </c>
      <c r="G27" s="37">
        <f>S372</f>
        <v>0</v>
      </c>
      <c r="I27" s="33">
        <f t="shared" si="5"/>
        <v>0</v>
      </c>
      <c r="K27" s="145">
        <f>G27/ltm_ebitda</f>
        <v>0</v>
      </c>
      <c r="M27" t="s">
        <v>154</v>
      </c>
      <c r="Q27" s="127">
        <v>0.045</v>
      </c>
      <c r="S27" t="str">
        <f>"Operating Case: "&amp;B325</f>
        <v>Operating Case: Analyst Case</v>
      </c>
      <c r="Y27" s="89">
        <v>2</v>
      </c>
      <c r="AA27" s="128" t="s">
        <v>277</v>
      </c>
      <c r="AI27" s="106">
        <f>AI26+AI19</f>
        <v>440.8929942812499</v>
      </c>
      <c r="AK27" s="120" t="s">
        <v>136</v>
      </c>
      <c r="AQ27" s="118">
        <f>SUM(AQ24:AQ26)</f>
        <v>35.15916487119438</v>
      </c>
    </row>
    <row r="28" spans="2:17" ht="14.25" thickBot="1" thickTop="1">
      <c r="B28" s="10" t="s">
        <v>205</v>
      </c>
      <c r="G28" s="106">
        <f>SUM(G9:G27)</f>
        <v>815.2424471574999</v>
      </c>
      <c r="H28" s="10"/>
      <c r="I28" s="155">
        <f>SUM(I9:I27)</f>
        <v>1</v>
      </c>
      <c r="J28" s="10"/>
      <c r="K28" s="156">
        <f>SUM(K9:K27)</f>
        <v>6.759887621538144</v>
      </c>
      <c r="M28" t="s">
        <v>155</v>
      </c>
      <c r="Q28" s="127">
        <v>0.02</v>
      </c>
    </row>
    <row r="29" spans="13:43" ht="14.25" thickBot="1" thickTop="1">
      <c r="M29" t="s">
        <v>247</v>
      </c>
      <c r="Q29" s="129">
        <v>1</v>
      </c>
      <c r="S29" t="s">
        <v>61</v>
      </c>
      <c r="Y29" s="77">
        <v>10</v>
      </c>
      <c r="AA29" s="4" t="s">
        <v>346</v>
      </c>
      <c r="AB29" s="4"/>
      <c r="AC29" s="4"/>
      <c r="AD29" s="4"/>
      <c r="AE29" s="4"/>
      <c r="AF29" s="4"/>
      <c r="AG29" s="4"/>
      <c r="AH29" s="4"/>
      <c r="AI29" s="4"/>
      <c r="AK29" s="20" t="s">
        <v>140</v>
      </c>
      <c r="AL29" s="21"/>
      <c r="AM29" s="21"/>
      <c r="AN29" s="21"/>
      <c r="AO29" s="21"/>
      <c r="AP29" s="21"/>
      <c r="AQ29" s="21"/>
    </row>
    <row r="30" spans="1:43" ht="13.5" thickBot="1">
      <c r="A30" s="83" t="s">
        <v>211</v>
      </c>
      <c r="B30" s="83"/>
      <c r="S30" t="s">
        <v>62</v>
      </c>
      <c r="Y30" s="91">
        <v>20</v>
      </c>
      <c r="AK30" s="24" t="s">
        <v>141</v>
      </c>
      <c r="AL30" s="10"/>
      <c r="AM30" s="10"/>
      <c r="AQ30" s="77">
        <v>0</v>
      </c>
    </row>
    <row r="31" spans="2:43" ht="12.75">
      <c r="B31" t="s">
        <v>144</v>
      </c>
      <c r="M31" s="4" t="s">
        <v>156</v>
      </c>
      <c r="N31" s="126"/>
      <c r="O31" s="126"/>
      <c r="P31" s="126"/>
      <c r="Q31" s="126"/>
      <c r="T31" t="s">
        <v>63</v>
      </c>
      <c r="Y31" s="92">
        <f>SUM(Y29:Y30)</f>
        <v>30</v>
      </c>
      <c r="AA31" t="s">
        <v>342</v>
      </c>
      <c r="AI31" s="77">
        <v>0</v>
      </c>
      <c r="AK31" t="s">
        <v>129</v>
      </c>
      <c r="AQ31" s="119">
        <f>IF(AO19&gt;trans_price,AO18,0)+IF(AQ19&gt;trans_price,AQ18,0)</f>
        <v>230</v>
      </c>
    </row>
    <row r="32" spans="3:43" ht="12.75">
      <c r="C32" t="s">
        <v>217</v>
      </c>
      <c r="G32" s="76">
        <f>S376</f>
        <v>562.9861275</v>
      </c>
      <c r="I32" s="33">
        <f>G32/$G$42</f>
        <v>0.6905750914503528</v>
      </c>
      <c r="K32" s="145">
        <f>G32/ltm_ebitda</f>
        <v>4.668210012437812</v>
      </c>
      <c r="AK32" t="s">
        <v>39</v>
      </c>
      <c r="AQ32" s="54">
        <v>0</v>
      </c>
    </row>
    <row r="33" spans="3:43" ht="13.5" thickBot="1">
      <c r="C33" t="s">
        <v>210</v>
      </c>
      <c r="G33" s="37">
        <f>S377</f>
        <v>0</v>
      </c>
      <c r="I33" s="33">
        <f>G33/$G$42</f>
        <v>0</v>
      </c>
      <c r="K33" s="145">
        <f>G33/ltm_ebitda</f>
        <v>0</v>
      </c>
      <c r="M33" s="128" t="s">
        <v>157</v>
      </c>
      <c r="Q33" s="129">
        <v>0</v>
      </c>
      <c r="S33" s="4" t="s">
        <v>5</v>
      </c>
      <c r="T33" s="4"/>
      <c r="U33" s="4"/>
      <c r="V33" s="4"/>
      <c r="W33" s="4"/>
      <c r="X33" s="4"/>
      <c r="Y33" s="4"/>
      <c r="AA33" s="4" t="s">
        <v>13</v>
      </c>
      <c r="AB33" s="4"/>
      <c r="AC33" s="4"/>
      <c r="AD33" s="4"/>
      <c r="AE33" s="4"/>
      <c r="AF33" s="4"/>
      <c r="AG33" s="4"/>
      <c r="AH33" s="4"/>
      <c r="AI33" s="4"/>
      <c r="AK33" t="s">
        <v>142</v>
      </c>
      <c r="AQ33" s="119">
        <f>-I120</f>
        <v>-146.606</v>
      </c>
    </row>
    <row r="34" spans="2:43" ht="12.75">
      <c r="B34" t="s">
        <v>236</v>
      </c>
      <c r="AK34" s="120" t="s">
        <v>140</v>
      </c>
      <c r="AQ34" s="92">
        <f>SUM(AQ30:AQ33)</f>
        <v>83.394</v>
      </c>
    </row>
    <row r="35" spans="3:35" ht="12.75">
      <c r="C35" t="s">
        <v>218</v>
      </c>
      <c r="G35" s="37">
        <f>S378</f>
        <v>0</v>
      </c>
      <c r="I35" s="33">
        <f aca="true" t="shared" si="6" ref="I35:I41">G35/$G$42</f>
        <v>0</v>
      </c>
      <c r="K35" s="145">
        <f aca="true" t="shared" si="7" ref="K35:K41">G35/ltm_ebitda</f>
        <v>0</v>
      </c>
      <c r="M35" s="4" t="s">
        <v>158</v>
      </c>
      <c r="N35" s="126"/>
      <c r="O35" s="126"/>
      <c r="P35" s="126"/>
      <c r="Q35" s="126"/>
      <c r="S35" s="8" t="s">
        <v>6</v>
      </c>
      <c r="Y35" s="13">
        <v>39355</v>
      </c>
      <c r="AA35" t="s">
        <v>14</v>
      </c>
      <c r="AI35" s="15" t="s">
        <v>15</v>
      </c>
    </row>
    <row r="36" spans="3:35" ht="12.75">
      <c r="C36" t="s">
        <v>219</v>
      </c>
      <c r="G36" s="37">
        <f>S379</f>
        <v>230</v>
      </c>
      <c r="I36" s="33">
        <f t="shared" si="6"/>
        <v>0.2821246621810964</v>
      </c>
      <c r="K36" s="145">
        <f t="shared" si="7"/>
        <v>1.9071310116086242</v>
      </c>
      <c r="S36" s="8" t="s">
        <v>7</v>
      </c>
      <c r="Y36" s="13">
        <v>39538</v>
      </c>
      <c r="AA36" t="s">
        <v>16</v>
      </c>
      <c r="AG36" s="6"/>
      <c r="AH36" s="6"/>
      <c r="AI36" s="15" t="s">
        <v>19</v>
      </c>
    </row>
    <row r="37" spans="3:35" ht="12.75">
      <c r="C37" t="s">
        <v>212</v>
      </c>
      <c r="G37" s="37">
        <f>S380</f>
        <v>0</v>
      </c>
      <c r="I37" s="33">
        <f t="shared" si="6"/>
        <v>0</v>
      </c>
      <c r="K37" s="145">
        <f t="shared" si="7"/>
        <v>0</v>
      </c>
      <c r="M37" s="128" t="s">
        <v>159</v>
      </c>
      <c r="Q37" s="77">
        <v>30</v>
      </c>
      <c r="S37" s="8" t="s">
        <v>8</v>
      </c>
      <c r="Y37" s="13">
        <v>39585</v>
      </c>
      <c r="AI37" s="15" t="s">
        <v>20</v>
      </c>
    </row>
    <row r="38" spans="3:35" ht="12.75">
      <c r="C38" t="s">
        <v>238</v>
      </c>
      <c r="G38" s="37">
        <f>S382</f>
        <v>0</v>
      </c>
      <c r="I38" s="33">
        <f t="shared" si="6"/>
        <v>0</v>
      </c>
      <c r="K38" s="145">
        <f t="shared" si="7"/>
        <v>0</v>
      </c>
      <c r="M38" s="128" t="s">
        <v>160</v>
      </c>
      <c r="Q38" s="77">
        <v>100</v>
      </c>
      <c r="S38" s="8" t="s">
        <v>9</v>
      </c>
      <c r="Y38" s="13">
        <v>39660</v>
      </c>
      <c r="AA38" t="s">
        <v>17</v>
      </c>
      <c r="AG38" s="16">
        <f ca="1">NOW()</f>
        <v>39981.80537997685</v>
      </c>
      <c r="AI38" s="17">
        <f ca="1">NOW()</f>
        <v>39981.80537997685</v>
      </c>
    </row>
    <row r="39" spans="3:35" ht="12.75">
      <c r="C39" t="s">
        <v>239</v>
      </c>
      <c r="G39" s="37">
        <f>S383</f>
        <v>0</v>
      </c>
      <c r="I39" s="33">
        <f t="shared" si="6"/>
        <v>0</v>
      </c>
      <c r="K39" s="145">
        <f t="shared" si="7"/>
        <v>0</v>
      </c>
      <c r="S39" s="8" t="s">
        <v>10</v>
      </c>
      <c r="Y39" s="14">
        <f>ROUND((MONTH(Y36)-MONTH(Y35)+12*(YEAR(Y36)-YEAR(Y35))),0)</f>
        <v>6</v>
      </c>
      <c r="AA39" t="s">
        <v>18</v>
      </c>
      <c r="AC39" s="80" t="str">
        <f ca="1">CELL("filename")</f>
        <v>C:\Documents and Settings\Administrator\My Documents\LBO\[nol.xls]LBO</v>
      </c>
      <c r="AD39" s="80"/>
      <c r="AG39" s="10"/>
      <c r="AH39" s="10"/>
      <c r="AI39" s="10"/>
    </row>
    <row r="40" spans="3:25" ht="12.75">
      <c r="C40" t="s">
        <v>237</v>
      </c>
      <c r="G40" s="37">
        <f>SUM(S384:S385)</f>
        <v>22.2563196575</v>
      </c>
      <c r="I40" s="33">
        <f t="shared" si="6"/>
        <v>0.02730024636855079</v>
      </c>
      <c r="K40" s="145">
        <f t="shared" si="7"/>
        <v>0.18454659749170818</v>
      </c>
      <c r="M40" s="4" t="s">
        <v>161</v>
      </c>
      <c r="N40" s="126"/>
      <c r="O40" s="126"/>
      <c r="P40" s="126"/>
      <c r="Q40" s="126"/>
      <c r="S40" s="8" t="s">
        <v>11</v>
      </c>
      <c r="Y40" s="14">
        <f>ROUND((MONTH(Y35)-MONTH(Y38)+12*(YEAR(Y35)+1-YEAR(Y38))),0)</f>
        <v>2</v>
      </c>
    </row>
    <row r="41" spans="3:25" ht="13.5" thickBot="1">
      <c r="C41" t="s">
        <v>66</v>
      </c>
      <c r="G41" s="37">
        <f>S386</f>
        <v>0</v>
      </c>
      <c r="I41" s="33">
        <f t="shared" si="6"/>
        <v>0</v>
      </c>
      <c r="K41" s="145">
        <f t="shared" si="7"/>
        <v>0</v>
      </c>
      <c r="S41" s="157" t="s">
        <v>12</v>
      </c>
      <c r="Y41" s="12">
        <f>Y40/12</f>
        <v>0.16666666666666666</v>
      </c>
    </row>
    <row r="42" spans="2:17" ht="13.5" thickBot="1">
      <c r="B42" s="10" t="s">
        <v>215</v>
      </c>
      <c r="G42" s="106">
        <f>SUM(G32:G41)</f>
        <v>815.2424471575</v>
      </c>
      <c r="H42" s="10"/>
      <c r="I42" s="155">
        <f>SUM(I32:I41)</f>
        <v>1</v>
      </c>
      <c r="J42" s="10"/>
      <c r="K42" s="156">
        <f>SUM(K32:K41)</f>
        <v>6.759887621538144</v>
      </c>
      <c r="M42" t="s">
        <v>162</v>
      </c>
      <c r="Q42" s="89">
        <v>4</v>
      </c>
    </row>
    <row r="43" ht="13.5" thickTop="1"/>
    <row r="44" spans="1:39" ht="13.5" customHeight="1" thickBot="1">
      <c r="A44" s="4" t="s">
        <v>64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K44" s="20" t="s">
        <v>67</v>
      </c>
      <c r="AL44" s="20"/>
      <c r="AM44" s="20"/>
    </row>
    <row r="45" spans="1:39" ht="12.75">
      <c r="A45" s="3" t="str">
        <f>$A$2</f>
        <v>($ in millions, except per share data)</v>
      </c>
      <c r="AK45" s="22" t="str">
        <f>Y39&amp;" Mos."</f>
        <v>6 Mos.</v>
      </c>
      <c r="AM45" s="22" t="str">
        <f>AK45</f>
        <v>6 Mos.</v>
      </c>
    </row>
    <row r="46" spans="13:39" ht="13.5" thickBot="1">
      <c r="M46" s="22" t="s">
        <v>69</v>
      </c>
      <c r="O46" s="22" t="str">
        <f>Y40&amp;" Mos."</f>
        <v>2 Mos.</v>
      </c>
      <c r="Q46" s="20" t="str">
        <f>Q317</f>
        <v>Projected Fiscal Years Ending September 30,</v>
      </c>
      <c r="R46" s="20"/>
      <c r="S46" s="20"/>
      <c r="T46" s="20"/>
      <c r="U46" s="20"/>
      <c r="V46" s="20"/>
      <c r="W46" s="20"/>
      <c r="X46" s="20"/>
      <c r="Y46" s="20"/>
      <c r="Z46" s="20"/>
      <c r="AA46" s="20"/>
      <c r="AB46" s="20"/>
      <c r="AC46" s="20"/>
      <c r="AD46" s="20"/>
      <c r="AE46" s="20"/>
      <c r="AF46" s="20"/>
      <c r="AG46" s="20"/>
      <c r="AH46" s="20"/>
      <c r="AI46" s="20"/>
      <c r="AK46" s="22" t="s">
        <v>68</v>
      </c>
      <c r="AM46" s="22" t="str">
        <f>AK46</f>
        <v>Ended</v>
      </c>
    </row>
    <row r="47" spans="11:39" ht="12.75">
      <c r="K47" s="81">
        <f>Q47-1</f>
        <v>0</v>
      </c>
      <c r="M47" s="22" t="s">
        <v>68</v>
      </c>
      <c r="O47" s="22" t="s">
        <v>240</v>
      </c>
      <c r="Q47" s="81">
        <f>Q318</f>
        <v>1</v>
      </c>
      <c r="S47" s="81">
        <f>S318</f>
        <v>2</v>
      </c>
      <c r="U47" s="81">
        <f>U318</f>
        <v>3</v>
      </c>
      <c r="W47" s="81">
        <f>W318</f>
        <v>4</v>
      </c>
      <c r="Y47" s="81">
        <f>Y318</f>
        <v>5</v>
      </c>
      <c r="AA47" s="81">
        <f>AA318</f>
        <v>6</v>
      </c>
      <c r="AC47" s="81">
        <f>AC318</f>
        <v>7</v>
      </c>
      <c r="AE47" s="81">
        <f>AE318</f>
        <v>8</v>
      </c>
      <c r="AG47" s="81">
        <f>AG318</f>
        <v>9</v>
      </c>
      <c r="AI47" s="81">
        <f>AI318</f>
        <v>10</v>
      </c>
      <c r="AK47" s="22" t="str">
        <f>TEXT(ltm_date,"mmm d")</f>
        <v>Mar 31</v>
      </c>
      <c r="AL47" s="6"/>
      <c r="AM47" s="22" t="str">
        <f>AK47</f>
        <v>Mar 31</v>
      </c>
    </row>
    <row r="48" spans="11:39" ht="13.5" thickBot="1">
      <c r="K48" s="82">
        <f>Q48-1</f>
        <v>2007</v>
      </c>
      <c r="M48" s="99">
        <f>ltm_date</f>
        <v>39538</v>
      </c>
      <c r="O48" s="97" t="str">
        <f>MONTH(fye)&amp;"/"&amp;DAY(fye)&amp;"/"&amp;YEAR(fye)+1</f>
        <v>9/30/2008</v>
      </c>
      <c r="Q48" s="82">
        <f>Q319</f>
        <v>2008</v>
      </c>
      <c r="S48" s="82">
        <f>S319</f>
        <v>2009</v>
      </c>
      <c r="U48" s="82">
        <f>U319</f>
        <v>2010</v>
      </c>
      <c r="W48" s="82">
        <f>W319</f>
        <v>2011</v>
      </c>
      <c r="Y48" s="82">
        <f>Y319</f>
        <v>2012</v>
      </c>
      <c r="AA48" s="82">
        <f>AA319</f>
        <v>2013</v>
      </c>
      <c r="AC48" s="82">
        <f>AC319</f>
        <v>2014</v>
      </c>
      <c r="AE48" s="82">
        <f>AE319</f>
        <v>2015</v>
      </c>
      <c r="AG48" s="82">
        <f>AG319</f>
        <v>2016</v>
      </c>
      <c r="AI48" s="82">
        <f>AI319</f>
        <v>2017</v>
      </c>
      <c r="AK48" s="97">
        <f>AM48-1</f>
        <v>2007</v>
      </c>
      <c r="AM48" s="97" t="str">
        <f>TEXT(ltm_date,"YYYY")</f>
        <v>2008</v>
      </c>
    </row>
    <row r="50" spans="1:39" ht="12.75">
      <c r="A50" s="10" t="s">
        <v>65</v>
      </c>
      <c r="B50" s="10"/>
      <c r="K50" s="93">
        <f>'Target P&amp;L'!K7</f>
        <v>402.5</v>
      </c>
      <c r="M50" s="30">
        <f>K50+AM50-AK50</f>
        <v>420.4</v>
      </c>
      <c r="O50" s="30">
        <f>Q50*stub</f>
        <v>76.35</v>
      </c>
      <c r="Q50" s="30">
        <f>K50*(1+Q51)</f>
        <v>458.09999999999997</v>
      </c>
      <c r="S50" s="30">
        <f>Q50*(1+S51)</f>
        <v>467.99999999999994</v>
      </c>
      <c r="U50" s="30">
        <f>S50*(1+U51)</f>
        <v>470.49999999999994</v>
      </c>
      <c r="W50" s="30">
        <f>U50*(1+W51)</f>
        <v>475.2049999999999</v>
      </c>
      <c r="Y50" s="30">
        <f>W50*(1+Y51)</f>
        <v>479.9570499999999</v>
      </c>
      <c r="AA50" s="30">
        <f>Y50*(1+AA51)</f>
        <v>484.75662049999994</v>
      </c>
      <c r="AC50" s="30">
        <f>AA50*(1+AC51)</f>
        <v>489.60418670499996</v>
      </c>
      <c r="AE50" s="30">
        <f>AC50*(1+AE51)</f>
        <v>494.50022857205</v>
      </c>
      <c r="AG50" s="30">
        <f>AE50*(1+AG51)</f>
        <v>499.44523085777047</v>
      </c>
      <c r="AI50" s="30">
        <f>AG50*(1+AI51)</f>
        <v>504.4396831663482</v>
      </c>
      <c r="AK50" s="31">
        <v>197.4</v>
      </c>
      <c r="AL50" s="10"/>
      <c r="AM50" s="31">
        <v>215.3</v>
      </c>
    </row>
    <row r="51" spans="1:39" ht="12.75">
      <c r="A51" s="19"/>
      <c r="B51" s="19" t="s">
        <v>23</v>
      </c>
      <c r="K51" s="85">
        <f>'Target P&amp;L'!I8</f>
        <v>0.026968716289104577</v>
      </c>
      <c r="M51" s="98" t="s">
        <v>24</v>
      </c>
      <c r="O51" s="98" t="s">
        <v>24</v>
      </c>
      <c r="Q51" s="67">
        <f>Q325</f>
        <v>0.1381366459627329</v>
      </c>
      <c r="S51" s="67">
        <f>S325</f>
        <v>0.0216110019646365</v>
      </c>
      <c r="U51" s="67">
        <f>U325</f>
        <v>0.005341880341880323</v>
      </c>
      <c r="W51" s="67">
        <f>W325</f>
        <v>0.01</v>
      </c>
      <c r="Y51" s="67">
        <f>Y325</f>
        <v>0.01</v>
      </c>
      <c r="AA51" s="67">
        <f>AA325</f>
        <v>0.01</v>
      </c>
      <c r="AC51" s="67">
        <f>AC325</f>
        <v>0.01</v>
      </c>
      <c r="AE51" s="67">
        <f>AE325</f>
        <v>0.01</v>
      </c>
      <c r="AG51" s="67">
        <f>AG325</f>
        <v>0.01</v>
      </c>
      <c r="AI51" s="67">
        <f>AI325</f>
        <v>0.01</v>
      </c>
      <c r="AK51" s="98" t="s">
        <v>24</v>
      </c>
      <c r="AM51" s="33">
        <f>AM50/AK50-1</f>
        <v>0.0906788247213779</v>
      </c>
    </row>
    <row r="52" spans="1:2" ht="4.5" customHeight="1">
      <c r="A52" s="19"/>
      <c r="B52" s="19"/>
    </row>
    <row r="53" spans="1:39" ht="12.75">
      <c r="A53" t="s">
        <v>25</v>
      </c>
      <c r="K53" s="96">
        <f>'Target P&amp;L'!K10</f>
        <v>207.7</v>
      </c>
      <c r="M53" s="94">
        <f>K53+AM53-AK53</f>
        <v>219.3</v>
      </c>
      <c r="O53" s="94">
        <f>Q53*stub</f>
        <v>39.93333333333333</v>
      </c>
      <c r="Q53" s="94">
        <f>Q54*Q$50</f>
        <v>239.6</v>
      </c>
      <c r="S53" s="94">
        <f>S54*S$50</f>
        <v>239.79999999999995</v>
      </c>
      <c r="U53" s="94">
        <f>U54*U$50</f>
        <v>242.19999999999993</v>
      </c>
      <c r="W53" s="94">
        <f>W54*W$50</f>
        <v>244.72199999999995</v>
      </c>
      <c r="Y53" s="94">
        <f>Y54*Y$50</f>
        <v>247.26921999999996</v>
      </c>
      <c r="AA53" s="94">
        <f>AA54*AA$50</f>
        <v>249.84191219999994</v>
      </c>
      <c r="AC53" s="94">
        <f>AC54*AC$50</f>
        <v>252.44033132199996</v>
      </c>
      <c r="AE53" s="94">
        <f>AE54*AE$50</f>
        <v>255.06473463521996</v>
      </c>
      <c r="AG53" s="94">
        <f>AG54*AG$50</f>
        <v>257.71538198157214</v>
      </c>
      <c r="AI53" s="94">
        <f>AI54*AI$50</f>
        <v>260.3925358013879</v>
      </c>
      <c r="AK53" s="38">
        <v>100.8</v>
      </c>
      <c r="AM53" s="38">
        <v>112.4</v>
      </c>
    </row>
    <row r="54" spans="1:39" ht="12.75">
      <c r="A54" s="67"/>
      <c r="B54" s="67" t="s">
        <v>26</v>
      </c>
      <c r="K54" s="67">
        <f>K53/K$50</f>
        <v>0.5160248447204968</v>
      </c>
      <c r="M54" s="67">
        <f>M53/M$50</f>
        <v>0.5216460513796385</v>
      </c>
      <c r="O54" s="67">
        <f>O53/O$50</f>
        <v>0.5230299061340319</v>
      </c>
      <c r="Q54" s="67">
        <f>Q332</f>
        <v>0.5230299061340319</v>
      </c>
      <c r="S54" s="67">
        <f>(S332*S50-$Y$29)/S50</f>
        <v>0.5123931623931623</v>
      </c>
      <c r="U54" s="67">
        <f>(U332*U50-$Y$29)/U50</f>
        <v>0.5147715196599362</v>
      </c>
      <c r="W54" s="67">
        <f>(W332*W50-$Y$29)/W50</f>
        <v>0.5149819551561957</v>
      </c>
      <c r="Y54" s="67">
        <f>(Y332*Y50-$Y$29)/Y50</f>
        <v>0.5151903071326903</v>
      </c>
      <c r="AA54" s="67">
        <f>(AA332*AA50-$Y$29)/AA50</f>
        <v>0.5153965962183285</v>
      </c>
      <c r="AC54" s="67">
        <f>(AC332*AC50-$Y$29)/AC50</f>
        <v>0.5156008428377722</v>
      </c>
      <c r="AE54" s="67">
        <f>(AE332*AE50-$Y$29)/AE50</f>
        <v>0.515803067213459</v>
      </c>
      <c r="AG54" s="67">
        <f>(AG332*AG50-$Y$29)/AG50</f>
        <v>0.5160032893676044</v>
      </c>
      <c r="AI54" s="67">
        <f>(AI332*AI50-$Y$29)/AI50</f>
        <v>0.5162015291241842</v>
      </c>
      <c r="AK54" s="33">
        <f>AK53/AK$50</f>
        <v>0.5106382978723404</v>
      </c>
      <c r="AM54" s="33">
        <f>AM53/AM$50</f>
        <v>0.5220622387366466</v>
      </c>
    </row>
    <row r="55" spans="1:39" ht="12.75">
      <c r="A55" t="s">
        <v>29</v>
      </c>
      <c r="K55" s="96">
        <f>'Target P&amp;L'!K15</f>
        <v>74.8</v>
      </c>
      <c r="M55" s="94">
        <f>K55+AM55-AK55</f>
        <v>80.5</v>
      </c>
      <c r="O55" s="94">
        <f>Q55*stub</f>
        <v>14.716666666666663</v>
      </c>
      <c r="Q55" s="94">
        <f>Q56*Q$50</f>
        <v>88.29999999999998</v>
      </c>
      <c r="S55" s="94">
        <f>S56*S$50</f>
        <v>71.69999999999999</v>
      </c>
      <c r="U55" s="94">
        <f>U56*U$50</f>
        <v>72.39999999999999</v>
      </c>
      <c r="W55" s="94">
        <f>W56*W$50</f>
        <v>73.32399999999998</v>
      </c>
      <c r="Y55" s="94">
        <f>Y56*Y$50</f>
        <v>74.25723999999998</v>
      </c>
      <c r="AA55" s="94">
        <f>AA56*AA$50</f>
        <v>75.19981239999998</v>
      </c>
      <c r="AC55" s="94">
        <f>AC56*AC$50</f>
        <v>76.151810524</v>
      </c>
      <c r="AE55" s="94">
        <f>AE56*AE$50</f>
        <v>77.11332862924</v>
      </c>
      <c r="AG55" s="94">
        <f>AG56*AG$50</f>
        <v>78.0844619155324</v>
      </c>
      <c r="AI55" s="94">
        <f>AI56*AI$50</f>
        <v>79.06530653468772</v>
      </c>
      <c r="AK55" s="38">
        <v>35.5</v>
      </c>
      <c r="AM55" s="38">
        <v>41.2</v>
      </c>
    </row>
    <row r="56" spans="1:39" ht="12.75">
      <c r="A56" s="67"/>
      <c r="B56" s="67" t="s">
        <v>26</v>
      </c>
      <c r="K56" s="67">
        <f>K55/K$50</f>
        <v>0.18583850931677018</v>
      </c>
      <c r="M56" s="67">
        <f>M55/M$50</f>
        <v>0.19148430066603236</v>
      </c>
      <c r="O56" s="67">
        <f>O55/O$50</f>
        <v>0.1927526740886269</v>
      </c>
      <c r="Q56" s="67">
        <f>Q339</f>
        <v>0.19275267408862692</v>
      </c>
      <c r="S56" s="67">
        <f>(S339*S50-$Y$30)/S50</f>
        <v>0.1532051282051282</v>
      </c>
      <c r="U56" s="67">
        <f>(U339*U50-$Y$30)/U50</f>
        <v>0.1538788522848034</v>
      </c>
      <c r="W56" s="67">
        <f>(W339*W50-$Y$30)/W50</f>
        <v>0.15429972327732241</v>
      </c>
      <c r="Y56" s="67">
        <f>(Y339*Y50-$Y$30)/Y50</f>
        <v>0.15471642723031154</v>
      </c>
      <c r="AA56" s="67">
        <f>(AA339*AA50-$Y$30)/AA50</f>
        <v>0.1551290054015879</v>
      </c>
      <c r="AC56" s="67">
        <f>(AC339*AC50-$Y$30)/AC50</f>
        <v>0.15553749864047542</v>
      </c>
      <c r="AE56" s="67">
        <f>(AE339*AE50-$Y$30)/AE50</f>
        <v>0.15594194739184916</v>
      </c>
      <c r="AG56" s="67">
        <f>(AG339*AG50-$Y$30)/AG50</f>
        <v>0.15634239170014</v>
      </c>
      <c r="AI56" s="67">
        <f>(AI339*AI50-$Y$30)/AI50</f>
        <v>0.15673887121329924</v>
      </c>
      <c r="AK56" s="33">
        <f>AK55/AK$50</f>
        <v>0.17983789260385005</v>
      </c>
      <c r="AM56" s="33">
        <f>AM55/AM$50</f>
        <v>0.19136089177891316</v>
      </c>
    </row>
    <row r="57" spans="1:39" ht="12.75">
      <c r="A57" t="s">
        <v>66</v>
      </c>
      <c r="K57" s="38">
        <v>0</v>
      </c>
      <c r="M57" s="94">
        <f>K57+AM57-AK57</f>
        <v>0</v>
      </c>
      <c r="O57" s="94">
        <f>Q57*stub</f>
        <v>0</v>
      </c>
      <c r="Q57" s="94">
        <f>Q58*Q$50</f>
        <v>0</v>
      </c>
      <c r="S57" s="94">
        <f>S58*S$50</f>
        <v>0</v>
      </c>
      <c r="U57" s="94">
        <f>U58*U$50</f>
        <v>0</v>
      </c>
      <c r="W57" s="94">
        <f>W58*W$50</f>
        <v>0</v>
      </c>
      <c r="Y57" s="94">
        <f>Y58*Y$50</f>
        <v>0</v>
      </c>
      <c r="AA57" s="94">
        <f>AA58*AA$50</f>
        <v>0</v>
      </c>
      <c r="AC57" s="94">
        <f>AC58*AC$50</f>
        <v>0</v>
      </c>
      <c r="AE57" s="94">
        <f>AE58*AE$50</f>
        <v>0</v>
      </c>
      <c r="AG57" s="94">
        <f>AG58*AG$50</f>
        <v>0</v>
      </c>
      <c r="AI57" s="94">
        <f>AI58*AI$50</f>
        <v>0</v>
      </c>
      <c r="AK57" s="38">
        <v>0</v>
      </c>
      <c r="AM57" s="38">
        <v>0</v>
      </c>
    </row>
    <row r="58" spans="1:39" ht="12.75">
      <c r="A58" s="67"/>
      <c r="B58" s="67" t="s">
        <v>26</v>
      </c>
      <c r="K58" s="67">
        <f>K57/K$50</f>
        <v>0</v>
      </c>
      <c r="M58" s="67">
        <f>M57/M$50</f>
        <v>0</v>
      </c>
      <c r="O58" s="67">
        <f>O57/O$50</f>
        <v>0</v>
      </c>
      <c r="Q58" s="67">
        <f>Q346</f>
        <v>0</v>
      </c>
      <c r="S58" s="67">
        <f>S346</f>
        <v>0</v>
      </c>
      <c r="U58" s="67">
        <f>U346</f>
        <v>0</v>
      </c>
      <c r="W58" s="67">
        <f>W346</f>
        <v>0</v>
      </c>
      <c r="Y58" s="67">
        <f>Y346</f>
        <v>0</v>
      </c>
      <c r="AA58" s="67">
        <f>AA346</f>
        <v>0</v>
      </c>
      <c r="AC58" s="67">
        <f>AC346</f>
        <v>0</v>
      </c>
      <c r="AE58" s="67">
        <f>AE346</f>
        <v>0</v>
      </c>
      <c r="AG58" s="67">
        <f>AG346</f>
        <v>0</v>
      </c>
      <c r="AI58" s="67">
        <f>AI346</f>
        <v>0</v>
      </c>
      <c r="AK58" s="33">
        <f>AK57/AK$50</f>
        <v>0</v>
      </c>
      <c r="AM58" s="33">
        <f>AM57/AM$50</f>
        <v>0</v>
      </c>
    </row>
    <row r="59" spans="1:2" ht="4.5" customHeight="1" thickBot="1">
      <c r="A59" s="67"/>
      <c r="B59" s="67"/>
    </row>
    <row r="60" spans="1:39" ht="12.75">
      <c r="A60" s="10" t="s">
        <v>30</v>
      </c>
      <c r="B60" s="10"/>
      <c r="K60" s="95">
        <f>K50-K53-K55-K57</f>
        <v>120.00000000000001</v>
      </c>
      <c r="M60" s="95">
        <f>M50-M53-M55-M57</f>
        <v>120.59999999999997</v>
      </c>
      <c r="O60" s="95">
        <f>O50-O53-O55-O57</f>
        <v>21.700000000000003</v>
      </c>
      <c r="Q60" s="95">
        <f>Q50-Q53-Q55-Q57</f>
        <v>130.2</v>
      </c>
      <c r="S60" s="95">
        <f>S50-S53-S55-S57</f>
        <v>156.5</v>
      </c>
      <c r="U60" s="95">
        <f>U50-U53-U55-U57</f>
        <v>155.90000000000003</v>
      </c>
      <c r="W60" s="95">
        <f>W50-W53-W55-W57</f>
        <v>157.159</v>
      </c>
      <c r="Y60" s="95">
        <f>Y50-Y53-Y55-Y57</f>
        <v>158.43059</v>
      </c>
      <c r="AA60" s="95">
        <f>AA50-AA53-AA55-AA57</f>
        <v>159.71489590000002</v>
      </c>
      <c r="AC60" s="95">
        <f>AC50-AC53-AC55-AC57</f>
        <v>161.012044859</v>
      </c>
      <c r="AE60" s="95">
        <f>AE50-AE53-AE55-AE57</f>
        <v>162.32216530759</v>
      </c>
      <c r="AG60" s="95">
        <f>AG50-AG53-AG55-AG57</f>
        <v>163.64538696066592</v>
      </c>
      <c r="AI60" s="95">
        <f>AI50-AI53-AI55-AI57</f>
        <v>164.98184083027255</v>
      </c>
      <c r="AK60" s="95">
        <f>AK50-AK53-AK55-AK57</f>
        <v>61.10000000000001</v>
      </c>
      <c r="AL60" s="10"/>
      <c r="AM60" s="95">
        <f>AM50-AM53-AM55-AM57</f>
        <v>61.7</v>
      </c>
    </row>
    <row r="61" spans="1:39" ht="12.75">
      <c r="A61" s="67"/>
      <c r="B61" s="67" t="s">
        <v>28</v>
      </c>
      <c r="K61" s="67">
        <f>K60/K$50</f>
        <v>0.2981366459627329</v>
      </c>
      <c r="M61" s="67">
        <f>M60/M$50</f>
        <v>0.2868696479543291</v>
      </c>
      <c r="O61" s="67">
        <f>O60/O$50</f>
        <v>0.2842174197773413</v>
      </c>
      <c r="Q61" s="67">
        <f>Q60/Q$50</f>
        <v>0.28421741977734116</v>
      </c>
      <c r="S61" s="67">
        <f>S60/S$50</f>
        <v>0.33440170940170943</v>
      </c>
      <c r="U61" s="67">
        <f>U60/U$50</f>
        <v>0.33134962805526047</v>
      </c>
      <c r="W61" s="67">
        <f>W60/W$50</f>
        <v>0.33071832156648184</v>
      </c>
      <c r="Y61" s="67">
        <f>Y60/Y$50</f>
        <v>0.3300932656369982</v>
      </c>
      <c r="AA61" s="67">
        <f>AA60/AA$50</f>
        <v>0.3294743983800837</v>
      </c>
      <c r="AC61" s="67">
        <f>AC60/AC$50</f>
        <v>0.3288616585217524</v>
      </c>
      <c r="AE61" s="67">
        <f>AE60/AE$50</f>
        <v>0.3282549853946918</v>
      </c>
      <c r="AG61" s="67">
        <f>AG60/AG$50</f>
        <v>0.32765431893225555</v>
      </c>
      <c r="AI61" s="67">
        <f>AI60/AI$50</f>
        <v>0.3270595996625166</v>
      </c>
      <c r="AK61" s="33">
        <f>AK60/AK$50</f>
        <v>0.30952380952380953</v>
      </c>
      <c r="AM61" s="33">
        <f>AM60/AM$50</f>
        <v>0.28657686948444033</v>
      </c>
    </row>
    <row r="62" ht="4.5" customHeight="1"/>
    <row r="63" spans="1:39" ht="12.75">
      <c r="A63" t="s">
        <v>335</v>
      </c>
      <c r="K63" s="96">
        <f>'Target P&amp;L'!K22</f>
        <v>12.1</v>
      </c>
      <c r="M63" s="94">
        <f>K63+AM63-AK63</f>
        <v>13.100000000000001</v>
      </c>
      <c r="O63" s="94">
        <f>O265</f>
        <v>2.3499999999999996</v>
      </c>
      <c r="Q63" s="94">
        <f>Q265</f>
        <v>14.1</v>
      </c>
      <c r="S63" s="94">
        <f>S265</f>
        <v>14.1</v>
      </c>
      <c r="U63" s="94">
        <f>U265</f>
        <v>14.1</v>
      </c>
      <c r="W63" s="94">
        <f>W265</f>
        <v>14.241</v>
      </c>
      <c r="Y63" s="94">
        <f>Y265</f>
        <v>14.38341</v>
      </c>
      <c r="AA63" s="94">
        <f>AA265</f>
        <v>14.527244099999999</v>
      </c>
      <c r="AC63" s="94">
        <f>AC265</f>
        <v>14.672516541</v>
      </c>
      <c r="AE63" s="94">
        <f>AE265</f>
        <v>14.819241706410002</v>
      </c>
      <c r="AG63" s="94">
        <f>AG265</f>
        <v>14.967434123474101</v>
      </c>
      <c r="AI63" s="94">
        <f>AI265</f>
        <v>15.117108464708842</v>
      </c>
      <c r="AK63" s="38">
        <v>5.7</v>
      </c>
      <c r="AM63" s="38">
        <v>6.7</v>
      </c>
    </row>
    <row r="64" spans="1:39" ht="12.75">
      <c r="A64" s="67"/>
      <c r="B64" s="67" t="s">
        <v>26</v>
      </c>
      <c r="K64" s="67">
        <f>K63/K$50</f>
        <v>0.030062111801242235</v>
      </c>
      <c r="M64" s="67">
        <f>M63/M$50</f>
        <v>0.031160799238820175</v>
      </c>
      <c r="O64" s="67">
        <f>O63/O$50</f>
        <v>0.03077930582842174</v>
      </c>
      <c r="Q64" s="67">
        <f>Q63/Q$50</f>
        <v>0.030779305828421744</v>
      </c>
      <c r="S64" s="67">
        <f>S63/S$50</f>
        <v>0.030128205128205132</v>
      </c>
      <c r="U64" s="67">
        <f>U63/U$50</f>
        <v>0.029968119022316688</v>
      </c>
      <c r="W64" s="67">
        <f>W63/W$50</f>
        <v>0.029968119022316688</v>
      </c>
      <c r="Y64" s="67">
        <f>Y63/Y$50</f>
        <v>0.029968119022316688</v>
      </c>
      <c r="AA64" s="67">
        <f>AA63/AA$50</f>
        <v>0.029968119022316685</v>
      </c>
      <c r="AC64" s="67">
        <f>AC63/AC$50</f>
        <v>0.029968119022316688</v>
      </c>
      <c r="AE64" s="67">
        <f>AE63/AE$50</f>
        <v>0.029968119022316688</v>
      </c>
      <c r="AG64" s="67">
        <f>AG63/AG$50</f>
        <v>0.029968119022316688</v>
      </c>
      <c r="AI64" s="67">
        <f>AI63/AI$50</f>
        <v>0.029968119022316688</v>
      </c>
      <c r="AK64" s="33">
        <f>AK63/AK$50</f>
        <v>0.028875379939209727</v>
      </c>
      <c r="AM64" s="33">
        <f>AM63/AM$50</f>
        <v>0.031119368323269857</v>
      </c>
    </row>
    <row r="65" spans="1:39" ht="12.75">
      <c r="A65" t="s">
        <v>336</v>
      </c>
      <c r="K65" s="38">
        <v>0</v>
      </c>
      <c r="M65" s="94">
        <f>K65+AM65-AK65</f>
        <v>0</v>
      </c>
      <c r="O65" s="37">
        <f>O285</f>
        <v>0.3125</v>
      </c>
      <c r="Q65" s="37">
        <f>Q285</f>
        <v>0.3125</v>
      </c>
      <c r="S65" s="37">
        <f>S285</f>
        <v>1.875</v>
      </c>
      <c r="U65" s="37">
        <f>U285</f>
        <v>1.875</v>
      </c>
      <c r="W65" s="37">
        <f>W285</f>
        <v>1.875</v>
      </c>
      <c r="Y65" s="37">
        <f>Y285</f>
        <v>1.875</v>
      </c>
      <c r="AA65" s="37">
        <f>AA285</f>
        <v>1.875</v>
      </c>
      <c r="AC65" s="37">
        <f>AC285</f>
        <v>1.875</v>
      </c>
      <c r="AE65" s="37">
        <f>AE285</f>
        <v>1.875</v>
      </c>
      <c r="AG65" s="37">
        <f>AG285</f>
        <v>1.5625</v>
      </c>
      <c r="AI65" s="37">
        <f>AI285</f>
        <v>0</v>
      </c>
      <c r="AK65" s="38">
        <v>0</v>
      </c>
      <c r="AM65" s="38">
        <v>0</v>
      </c>
    </row>
    <row r="66" spans="1:39" ht="12.75">
      <c r="A66" s="67"/>
      <c r="B66" s="67" t="s">
        <v>26</v>
      </c>
      <c r="K66" s="67">
        <f>K65/K$50</f>
        <v>0</v>
      </c>
      <c r="M66" s="67">
        <f>M65/M$50</f>
        <v>0</v>
      </c>
      <c r="O66" s="67">
        <f>O65/O$50</f>
        <v>0.004092992796332679</v>
      </c>
      <c r="Q66" s="67">
        <f>Q65/Q$50</f>
        <v>0.0006821654660554465</v>
      </c>
      <c r="S66" s="67">
        <f>S65/S$50</f>
        <v>0.004006410256410257</v>
      </c>
      <c r="U66" s="67">
        <f>U65/U$50</f>
        <v>0.003985122210414453</v>
      </c>
      <c r="W66" s="67">
        <f>W65/W$50</f>
        <v>0.003945665554865796</v>
      </c>
      <c r="Y66" s="67">
        <f>Y65/Y$50</f>
        <v>0.003906599559273065</v>
      </c>
      <c r="AA66" s="67">
        <f>AA65/AA$50</f>
        <v>0.0038679203557159055</v>
      </c>
      <c r="AC66" s="67">
        <f>AC65/AC$50</f>
        <v>0.0038296241145702034</v>
      </c>
      <c r="AE66" s="67">
        <f>AE65/AE$50</f>
        <v>0.003791707044128914</v>
      </c>
      <c r="AG66" s="67">
        <f>AG65/AG$50</f>
        <v>0.0031284711585222065</v>
      </c>
      <c r="AI66" s="67">
        <f>AI65/AI$50</f>
        <v>0</v>
      </c>
      <c r="AK66" s="33">
        <f>AK65/AK$50</f>
        <v>0</v>
      </c>
      <c r="AM66" s="33">
        <f>AM65/AM$50</f>
        <v>0</v>
      </c>
    </row>
    <row r="67" ht="4.5" customHeight="1" thickBot="1"/>
    <row r="68" spans="1:39" ht="12.75">
      <c r="A68" s="10" t="s">
        <v>36</v>
      </c>
      <c r="B68" s="10"/>
      <c r="K68" s="95">
        <f>K60-K63-K65</f>
        <v>107.90000000000002</v>
      </c>
      <c r="M68" s="95">
        <f>M60-M63-M65</f>
        <v>107.49999999999997</v>
      </c>
      <c r="O68" s="95">
        <f>O60-O63-O65</f>
        <v>19.0375</v>
      </c>
      <c r="Q68" s="95">
        <f>Q60-Q63-Q65</f>
        <v>115.7875</v>
      </c>
      <c r="S68" s="95">
        <f>S60-S63-S65</f>
        <v>140.525</v>
      </c>
      <c r="U68" s="95">
        <f>U60-U63-U65</f>
        <v>139.92500000000004</v>
      </c>
      <c r="W68" s="95">
        <f>W60-W63-W65</f>
        <v>141.043</v>
      </c>
      <c r="Y68" s="95">
        <f>Y60-Y63-Y65</f>
        <v>142.17218</v>
      </c>
      <c r="AA68" s="95">
        <f>AA60-AA63-AA65</f>
        <v>143.31265180000003</v>
      </c>
      <c r="AC68" s="95">
        <f>AC60-AC63-AC65</f>
        <v>144.46452831800002</v>
      </c>
      <c r="AE68" s="95">
        <f>AE60-AE63-AE65</f>
        <v>145.62792360118002</v>
      </c>
      <c r="AG68" s="95">
        <f>AG60-AG63-AG65</f>
        <v>147.1154528371918</v>
      </c>
      <c r="AI68" s="95">
        <f>AI60-AI63-AI65</f>
        <v>149.8647323655637</v>
      </c>
      <c r="AK68" s="95">
        <f>AK60-AK63-AK65</f>
        <v>55.400000000000006</v>
      </c>
      <c r="AL68" s="10"/>
      <c r="AM68" s="95">
        <f>AM60-AM63-AM65</f>
        <v>55</v>
      </c>
    </row>
    <row r="69" spans="1:39" ht="12.75">
      <c r="A69" s="67"/>
      <c r="B69" s="67" t="s">
        <v>28</v>
      </c>
      <c r="K69" s="67">
        <f>K68/K$50</f>
        <v>0.26807453416149074</v>
      </c>
      <c r="M69" s="67">
        <f>M68/M$50</f>
        <v>0.255708848715509</v>
      </c>
      <c r="O69" s="67">
        <f>O68/O$50</f>
        <v>0.2493451211525868</v>
      </c>
      <c r="Q69" s="67">
        <f>Q68/Q$50</f>
        <v>0.25275594848286403</v>
      </c>
      <c r="S69" s="67">
        <f>S68/S$50</f>
        <v>0.30026709401709406</v>
      </c>
      <c r="U69" s="67">
        <f>U68/U$50</f>
        <v>0.29739638682252933</v>
      </c>
      <c r="W69" s="67">
        <f>W68/W$50</f>
        <v>0.29680453698929943</v>
      </c>
      <c r="Y69" s="67">
        <f>Y68/Y$50</f>
        <v>0.29621854705540845</v>
      </c>
      <c r="AA69" s="67">
        <f>AA68/AA$50</f>
        <v>0.2956383590020511</v>
      </c>
      <c r="AC69" s="67">
        <f>AC68/AC$50</f>
        <v>0.29506391538486554</v>
      </c>
      <c r="AE69" s="67">
        <f>AE68/AE$50</f>
        <v>0.29449515932824616</v>
      </c>
      <c r="AG69" s="67">
        <f>AG68/AG$50</f>
        <v>0.2945577287514166</v>
      </c>
      <c r="AI69" s="67">
        <f>AI68/AI$50</f>
        <v>0.2970914806401999</v>
      </c>
      <c r="AK69" s="33">
        <f>AK68/AK$50</f>
        <v>0.28064842958459985</v>
      </c>
      <c r="AM69" s="33">
        <f>AM68/AM$50</f>
        <v>0.25545750116117044</v>
      </c>
    </row>
    <row r="70" ht="4.5" customHeight="1"/>
    <row r="71" spans="1:39" ht="12.75">
      <c r="A71" t="s">
        <v>337</v>
      </c>
      <c r="K71" s="96">
        <f>'Target P&amp;L'!K24</f>
        <v>18.6</v>
      </c>
      <c r="M71" s="94">
        <f>K71+AM71-AK71</f>
        <v>19.1</v>
      </c>
      <c r="O71" s="94">
        <f>stub*Q71</f>
        <v>3.2666666666666666</v>
      </c>
      <c r="Q71" s="96">
        <f>'Target P&amp;L'!M24</f>
        <v>19.6</v>
      </c>
      <c r="S71" s="96">
        <f>'Target P&amp;L'!O24</f>
        <v>19.9</v>
      </c>
      <c r="U71" s="96">
        <f>'Target P&amp;L'!Q24</f>
        <v>20</v>
      </c>
      <c r="W71" s="96">
        <f>'Target P&amp;L'!S24</f>
        <v>20</v>
      </c>
      <c r="Y71" s="96">
        <f>'Target P&amp;L'!U24</f>
        <v>20</v>
      </c>
      <c r="AA71" s="96">
        <f>'Target P&amp;L'!W24</f>
        <v>0</v>
      </c>
      <c r="AC71" s="96">
        <f>'Target P&amp;L'!Y24</f>
        <v>0</v>
      </c>
      <c r="AE71" s="96">
        <f>'Target P&amp;L'!AA24</f>
        <v>0</v>
      </c>
      <c r="AG71" s="96">
        <f>'Target P&amp;L'!AC24</f>
        <v>0</v>
      </c>
      <c r="AI71" s="96">
        <f>'Target P&amp;L'!AE24</f>
        <v>0</v>
      </c>
      <c r="AK71" s="38">
        <v>9.2</v>
      </c>
      <c r="AM71" s="38">
        <v>9.7</v>
      </c>
    </row>
    <row r="72" spans="1:39" ht="12.75">
      <c r="A72" s="67"/>
      <c r="B72" s="67" t="s">
        <v>26</v>
      </c>
      <c r="K72" s="67">
        <f>K71/K$50</f>
        <v>0.04621118012422361</v>
      </c>
      <c r="M72" s="67">
        <f>M71/M$50</f>
        <v>0.045432921027592776</v>
      </c>
      <c r="O72" s="67">
        <f>O71/O$50</f>
        <v>0.0427854180309976</v>
      </c>
      <c r="Q72" s="67">
        <f>Q71/Q$50</f>
        <v>0.042785418030997606</v>
      </c>
      <c r="S72" s="67">
        <f>S71/S$50</f>
        <v>0.04252136752136752</v>
      </c>
      <c r="U72" s="67">
        <f>U71/U$50</f>
        <v>0.04250797024442084</v>
      </c>
      <c r="W72" s="67">
        <f>W71/W$50</f>
        <v>0.042087099251901815</v>
      </c>
      <c r="Y72" s="67">
        <f>Y71/Y$50</f>
        <v>0.04167039529891269</v>
      </c>
      <c r="AA72" s="67">
        <f>AA71/AA$50</f>
        <v>0</v>
      </c>
      <c r="AC72" s="67">
        <f>AC71/AC$50</f>
        <v>0</v>
      </c>
      <c r="AE72" s="67">
        <f>AE71/AE$50</f>
        <v>0</v>
      </c>
      <c r="AG72" s="67">
        <f>AG71/AG$50</f>
        <v>0</v>
      </c>
      <c r="AI72" s="67">
        <f>AI71/AI$50</f>
        <v>0</v>
      </c>
      <c r="AK72" s="33">
        <f>AK71/AK$50</f>
        <v>0.04660587639311043</v>
      </c>
      <c r="AM72" s="33">
        <f>AM71/AM$50</f>
        <v>0.04505341384115188</v>
      </c>
    </row>
    <row r="73" spans="1:39" ht="12.75">
      <c r="A73" t="s">
        <v>338</v>
      </c>
      <c r="K73" s="38">
        <v>0</v>
      </c>
      <c r="M73" s="94">
        <f>K73+AM73-AK73</f>
        <v>0</v>
      </c>
      <c r="O73" s="37">
        <f>O283</f>
        <v>3.8761093958333324</v>
      </c>
      <c r="Q73" s="37">
        <f>Q283</f>
        <v>3.8761093958333324</v>
      </c>
      <c r="S73" s="37">
        <f>S283</f>
        <v>23.256656374999995</v>
      </c>
      <c r="U73" s="37">
        <f>U283</f>
        <v>23.256656374999995</v>
      </c>
      <c r="W73" s="37">
        <f>W283</f>
        <v>23.256656374999995</v>
      </c>
      <c r="Y73" s="37">
        <f>Y283</f>
        <v>23.256656374999995</v>
      </c>
      <c r="AA73" s="37">
        <f>AA283</f>
        <v>19.380546979166667</v>
      </c>
      <c r="AC73" s="37">
        <f>AC283</f>
        <v>0</v>
      </c>
      <c r="AE73" s="37">
        <f>AE283</f>
        <v>0</v>
      </c>
      <c r="AG73" s="37">
        <f>AG283</f>
        <v>0</v>
      </c>
      <c r="AI73" s="37">
        <f>AI283</f>
        <v>0</v>
      </c>
      <c r="AK73" s="38">
        <v>0</v>
      </c>
      <c r="AM73" s="38">
        <v>0</v>
      </c>
    </row>
    <row r="74" spans="1:39" ht="12.75">
      <c r="A74" s="67"/>
      <c r="B74" s="67" t="s">
        <v>26</v>
      </c>
      <c r="K74" s="67">
        <f>K73/K$50</f>
        <v>0</v>
      </c>
      <c r="M74" s="67">
        <f>M73/M$50</f>
        <v>0</v>
      </c>
      <c r="O74" s="67">
        <f>O73/O$50</f>
        <v>0.05076764107181837</v>
      </c>
      <c r="Q74" s="67">
        <f>Q73/Q$50</f>
        <v>0.008461273511969729</v>
      </c>
      <c r="S74" s="67">
        <f>S73/S$50</f>
        <v>0.049693710202991445</v>
      </c>
      <c r="U74" s="67">
        <f>U73/U$50</f>
        <v>0.049429662858660996</v>
      </c>
      <c r="W74" s="67">
        <f>W73/W$50</f>
        <v>0.048940260256099995</v>
      </c>
      <c r="Y74" s="67">
        <f>Y73/Y$50</f>
        <v>0.048455703223861384</v>
      </c>
      <c r="AA74" s="67">
        <f>AA73/AA$50</f>
        <v>0.03997995315500115</v>
      </c>
      <c r="AC74" s="67">
        <f>AC73/AC$50</f>
        <v>0</v>
      </c>
      <c r="AE74" s="67">
        <f>AE73/AE$50</f>
        <v>0</v>
      </c>
      <c r="AG74" s="67">
        <f>AG73/AG$50</f>
        <v>0</v>
      </c>
      <c r="AI74" s="67">
        <f>AI73/AI$50</f>
        <v>0</v>
      </c>
      <c r="AK74" s="33">
        <f>AK73/AK$50</f>
        <v>0</v>
      </c>
      <c r="AM74" s="33">
        <f>AM73/AM$50</f>
        <v>0</v>
      </c>
    </row>
    <row r="75" spans="1:39" ht="12.75">
      <c r="A75" t="s">
        <v>339</v>
      </c>
      <c r="K75" s="96">
        <f>'Target P&amp;L'!K29</f>
        <v>11.3</v>
      </c>
      <c r="M75" s="94">
        <f>K75+AM75-AK75</f>
        <v>11.5</v>
      </c>
      <c r="O75" s="94">
        <f>stub*Q75</f>
        <v>1.8</v>
      </c>
      <c r="Q75" s="96">
        <f>'Target P&amp;L'!M29</f>
        <v>10.8</v>
      </c>
      <c r="S75" s="96">
        <f>'Target P&amp;L'!O29</f>
        <v>10.6</v>
      </c>
      <c r="U75" s="96">
        <f>'Target P&amp;L'!Q29</f>
        <v>10.7</v>
      </c>
      <c r="W75" s="96">
        <f>'Target P&amp;L'!S29</f>
        <v>10.806999999999999</v>
      </c>
      <c r="Y75" s="96">
        <f>'Target P&amp;L'!U29</f>
        <v>10.915069999999998</v>
      </c>
      <c r="AA75" s="96">
        <f>'Target P&amp;L'!W29</f>
        <v>0</v>
      </c>
      <c r="AC75" s="96">
        <f>'Target P&amp;L'!Y29</f>
        <v>0</v>
      </c>
      <c r="AE75" s="96">
        <f>'Target P&amp;L'!AA29</f>
        <v>0</v>
      </c>
      <c r="AG75" s="96">
        <f>'Target P&amp;L'!AC29</f>
        <v>0</v>
      </c>
      <c r="AI75" s="96">
        <f>'Target P&amp;L'!AE29</f>
        <v>0</v>
      </c>
      <c r="AK75" s="38">
        <v>5.5</v>
      </c>
      <c r="AM75" s="38">
        <v>5.7</v>
      </c>
    </row>
    <row r="76" spans="1:39" ht="12.75">
      <c r="A76" s="67"/>
      <c r="B76" s="67" t="s">
        <v>26</v>
      </c>
      <c r="K76" s="67">
        <f>K75/K$50</f>
        <v>0.028074534161490684</v>
      </c>
      <c r="M76" s="67">
        <f>M75/M$50</f>
        <v>0.02735490009514748</v>
      </c>
      <c r="O76" s="67">
        <f>O75/O$50</f>
        <v>0.02357563850687623</v>
      </c>
      <c r="Q76" s="67">
        <f>Q75/Q$50</f>
        <v>0.02357563850687623</v>
      </c>
      <c r="S76" s="67">
        <f>S75/S$50</f>
        <v>0.022649572649572652</v>
      </c>
      <c r="U76" s="67">
        <f>U75/U$50</f>
        <v>0.022741764080765146</v>
      </c>
      <c r="W76" s="67">
        <f>W75/W$50</f>
        <v>0.022741764080765146</v>
      </c>
      <c r="Y76" s="67">
        <f>Y75/Y$50</f>
        <v>0.022741764080765142</v>
      </c>
      <c r="AA76" s="67">
        <f>AA75/AA$50</f>
        <v>0</v>
      </c>
      <c r="AC76" s="67">
        <f>AC75/AC$50</f>
        <v>0</v>
      </c>
      <c r="AE76" s="67">
        <f>AE75/AE$50</f>
        <v>0</v>
      </c>
      <c r="AG76" s="67">
        <f>AG75/AG$50</f>
        <v>0</v>
      </c>
      <c r="AI76" s="67">
        <f>AI75/AI$50</f>
        <v>0</v>
      </c>
      <c r="AK76" s="33">
        <f>AK75/AK$50</f>
        <v>0.02786220871327254</v>
      </c>
      <c r="AM76" s="33">
        <f>AM75/AM$50</f>
        <v>0.026474686483975846</v>
      </c>
    </row>
    <row r="77" spans="1:2" ht="4.5" customHeight="1" thickBot="1">
      <c r="A77" s="67"/>
      <c r="B77" s="67"/>
    </row>
    <row r="78" spans="1:39" ht="12.75">
      <c r="A78" s="10" t="s">
        <v>35</v>
      </c>
      <c r="B78" s="10"/>
      <c r="K78" s="95">
        <f>K68-K71-K73-K75</f>
        <v>78.00000000000001</v>
      </c>
      <c r="M78" s="95">
        <f>M68-M71-M73-M75</f>
        <v>76.89999999999998</v>
      </c>
      <c r="O78" s="95">
        <f>O68-O71-O73-O75</f>
        <v>10.094723937500003</v>
      </c>
      <c r="Q78" s="95">
        <f>Q68-Q71-Q73-Q75</f>
        <v>81.51139060416666</v>
      </c>
      <c r="S78" s="95">
        <f>S68-S71-S73-S75</f>
        <v>86.76834362500001</v>
      </c>
      <c r="U78" s="95">
        <f>U68-U71-U73-U75</f>
        <v>85.96834362500005</v>
      </c>
      <c r="W78" s="95">
        <f>W68-W71-W73-W75</f>
        <v>86.97934362500001</v>
      </c>
      <c r="Y78" s="95">
        <f>Y68-Y71-Y73-Y75</f>
        <v>88.000453625</v>
      </c>
      <c r="AA78" s="95">
        <f>AA68-AA71-AA73-AA75</f>
        <v>123.93210482083336</v>
      </c>
      <c r="AC78" s="95">
        <f>AC68-AC71-AC73-AC75</f>
        <v>144.46452831800002</v>
      </c>
      <c r="AE78" s="95">
        <f>AE68-AE71-AE73-AE75</f>
        <v>145.62792360118002</v>
      </c>
      <c r="AG78" s="95">
        <f>AG68-AG71-AG73-AG75</f>
        <v>147.1154528371918</v>
      </c>
      <c r="AI78" s="95">
        <f>AI68-AI71-AI73-AI75</f>
        <v>149.8647323655637</v>
      </c>
      <c r="AK78" s="95">
        <f>AK68-AK71-AK73-AK75</f>
        <v>40.7</v>
      </c>
      <c r="AL78" s="10"/>
      <c r="AM78" s="95">
        <f>AM68-AM71-AM73-AM75</f>
        <v>39.599999999999994</v>
      </c>
    </row>
    <row r="79" spans="1:39" ht="12.75">
      <c r="A79" s="67"/>
      <c r="B79" s="67" t="s">
        <v>28</v>
      </c>
      <c r="K79" s="67">
        <f>K78/K$50</f>
        <v>0.19378881987577642</v>
      </c>
      <c r="M79" s="67">
        <f>M78/M$50</f>
        <v>0.18292102759276874</v>
      </c>
      <c r="O79" s="67">
        <f>O78/O$50</f>
        <v>0.13221642354289462</v>
      </c>
      <c r="Q79" s="67">
        <f>Q78/Q$50</f>
        <v>0.17793361843302044</v>
      </c>
      <c r="S79" s="67">
        <f>S78/S$50</f>
        <v>0.18540244364316244</v>
      </c>
      <c r="U79" s="67">
        <f>U78/U$50</f>
        <v>0.18271698963868238</v>
      </c>
      <c r="W79" s="67">
        <f>W78/W$50</f>
        <v>0.18303541340053245</v>
      </c>
      <c r="Y79" s="67">
        <f>Y78/Y$50</f>
        <v>0.18335068445186922</v>
      </c>
      <c r="AA79" s="67">
        <f>AA78/AA$50</f>
        <v>0.25565840584704996</v>
      </c>
      <c r="AC79" s="67">
        <f>AC78/AC$50</f>
        <v>0.29506391538486554</v>
      </c>
      <c r="AE79" s="67">
        <f>AE78/AE$50</f>
        <v>0.29449515932824616</v>
      </c>
      <c r="AG79" s="67">
        <f>AG78/AG$50</f>
        <v>0.2945577287514166</v>
      </c>
      <c r="AI79" s="67">
        <f>AI78/AI$50</f>
        <v>0.2970914806401999</v>
      </c>
      <c r="AK79" s="33">
        <f>AK78/AK$50</f>
        <v>0.20618034447821681</v>
      </c>
      <c r="AM79" s="33">
        <f>AM78/AM$50</f>
        <v>0.1839294008360427</v>
      </c>
    </row>
    <row r="80" ht="4.5" customHeight="1"/>
    <row r="81" ht="12.75">
      <c r="A81" s="19" t="s">
        <v>37</v>
      </c>
    </row>
    <row r="82" spans="1:2" ht="12.75">
      <c r="A82" s="19"/>
      <c r="B82" t="s">
        <v>340</v>
      </c>
    </row>
    <row r="83" ht="12.75">
      <c r="B83" t="str">
        <f>B358</f>
        <v>Debt Assumed</v>
      </c>
    </row>
    <row r="84" ht="12.75">
      <c r="B84" t="str">
        <f>B360</f>
        <v>Revolver</v>
      </c>
    </row>
    <row r="85" ht="12.75">
      <c r="B85" t="str">
        <f aca="true" t="shared" si="8" ref="B85:B90">B361</f>
        <v>Term Loan - A</v>
      </c>
    </row>
    <row r="86" ht="12.75">
      <c r="B86" t="str">
        <f t="shared" si="8"/>
        <v>Term Loan - B</v>
      </c>
    </row>
    <row r="87" ht="12.75">
      <c r="B87" t="str">
        <f t="shared" si="8"/>
        <v>Senior Note</v>
      </c>
    </row>
    <row r="88" ht="12.75">
      <c r="B88" t="str">
        <f t="shared" si="8"/>
        <v>Subordinated Note</v>
      </c>
    </row>
    <row r="89" ht="12.75">
      <c r="B89" t="str">
        <f t="shared" si="8"/>
        <v>Mezzanine</v>
      </c>
    </row>
    <row r="90" ht="13.5" thickBot="1">
      <c r="B90" t="str">
        <f t="shared" si="8"/>
        <v>Seller Note</v>
      </c>
    </row>
    <row r="91" spans="3:35" ht="12.75">
      <c r="C91" t="s">
        <v>347</v>
      </c>
      <c r="O91" s="102">
        <f>SUM(O83:O90)</f>
        <v>0</v>
      </c>
      <c r="Q91" s="102">
        <f>SUM(Q83:Q90)</f>
        <v>0</v>
      </c>
      <c r="S91" s="102">
        <f>SUM(S83:S90)</f>
        <v>0</v>
      </c>
      <c r="U91" s="102">
        <f>SUM(U83:U90)</f>
        <v>0</v>
      </c>
      <c r="W91" s="102">
        <f>SUM(W83:W90)</f>
        <v>0</v>
      </c>
      <c r="Y91" s="102">
        <f>SUM(Y83:Y90)</f>
        <v>0</v>
      </c>
      <c r="AA91" s="102">
        <f>SUM(AA83:AA90)</f>
        <v>0</v>
      </c>
      <c r="AC91" s="102">
        <f>SUM(AC83:AC90)</f>
        <v>0</v>
      </c>
      <c r="AE91" s="102">
        <f>SUM(AE83:AE90)</f>
        <v>0</v>
      </c>
      <c r="AG91" s="102">
        <f>SUM(AG83:AG90)</f>
        <v>0</v>
      </c>
      <c r="AI91" s="102">
        <f>SUM(AI83:AI90)</f>
        <v>0</v>
      </c>
    </row>
    <row r="92" ht="4.5" customHeight="1"/>
    <row r="93" ht="12.75">
      <c r="A93" s="19" t="s">
        <v>40</v>
      </c>
    </row>
    <row r="94" spans="2:35" ht="12.75">
      <c r="B94" t="s">
        <v>259</v>
      </c>
      <c r="O94" s="94">
        <f>O427</f>
        <v>0.22864583333333333</v>
      </c>
      <c r="Q94" s="94">
        <f>Q427</f>
        <v>0.22864583333333333</v>
      </c>
      <c r="S94" s="94">
        <f>S427</f>
        <v>1.371875</v>
      </c>
      <c r="U94" s="94">
        <f>U427</f>
        <v>1.371875</v>
      </c>
      <c r="W94" s="94">
        <f>W427</f>
        <v>1.371875</v>
      </c>
      <c r="Y94" s="94">
        <f>Y427</f>
        <v>1.3015625</v>
      </c>
      <c r="AA94" s="94">
        <f>AA427</f>
        <v>0.7916666666666667</v>
      </c>
      <c r="AC94" s="94">
        <f>AC427</f>
        <v>0</v>
      </c>
      <c r="AE94" s="94">
        <f>AE427</f>
        <v>0</v>
      </c>
      <c r="AG94" s="94">
        <f>AG427</f>
        <v>0</v>
      </c>
      <c r="AI94" s="94">
        <f>AI427</f>
        <v>0</v>
      </c>
    </row>
    <row r="95" spans="2:35" ht="12.75">
      <c r="B95" t="s">
        <v>341</v>
      </c>
      <c r="O95" s="94">
        <f>stub*Q95</f>
        <v>0</v>
      </c>
      <c r="Q95" s="96">
        <f>'Target P&amp;L'!M40</f>
        <v>0</v>
      </c>
      <c r="S95" s="96">
        <f>'Target P&amp;L'!O40</f>
        <v>0</v>
      </c>
      <c r="U95" s="96">
        <f>'Target P&amp;L'!Q40</f>
        <v>0</v>
      </c>
      <c r="W95" s="96">
        <f>'Target P&amp;L'!S40</f>
        <v>0</v>
      </c>
      <c r="Y95" s="96">
        <f>'Target P&amp;L'!U40</f>
        <v>0</v>
      </c>
      <c r="AA95" s="38">
        <f>Y95</f>
        <v>0</v>
      </c>
      <c r="AC95" s="94">
        <f>AA95</f>
        <v>0</v>
      </c>
      <c r="AE95" s="94">
        <f>AC95</f>
        <v>0</v>
      </c>
      <c r="AG95" s="94">
        <f>AE95</f>
        <v>0</v>
      </c>
      <c r="AI95" s="94">
        <f>AG95</f>
        <v>0</v>
      </c>
    </row>
    <row r="96" spans="2:35" ht="12.75">
      <c r="B96" t="s">
        <v>342</v>
      </c>
      <c r="O96" s="94">
        <f>stub*$AI$31</f>
        <v>0</v>
      </c>
      <c r="Q96" s="37">
        <f>O96</f>
        <v>0</v>
      </c>
      <c r="S96" s="94">
        <f>$AI$31</f>
        <v>0</v>
      </c>
      <c r="U96" s="94">
        <f>$AI$31</f>
        <v>0</v>
      </c>
      <c r="W96" s="94">
        <f>$AI$31</f>
        <v>0</v>
      </c>
      <c r="Y96" s="94">
        <f>$AI$31</f>
        <v>0</v>
      </c>
      <c r="AA96" s="94">
        <f>$AI$31</f>
        <v>0</v>
      </c>
      <c r="AC96" s="94">
        <f>$AI$31</f>
        <v>0</v>
      </c>
      <c r="AE96" s="94">
        <f>$AI$31</f>
        <v>0</v>
      </c>
      <c r="AG96" s="94">
        <f>$AI$31</f>
        <v>0</v>
      </c>
      <c r="AI96" s="94">
        <f>$AI$31</f>
        <v>0</v>
      </c>
    </row>
    <row r="97" spans="2:35" ht="12.75">
      <c r="B97" t="s">
        <v>343</v>
      </c>
      <c r="O97" s="37">
        <f>O286</f>
        <v>0</v>
      </c>
      <c r="Q97" s="37">
        <f>Q286</f>
        <v>0</v>
      </c>
      <c r="S97" s="37">
        <f>S286</f>
        <v>0</v>
      </c>
      <c r="U97" s="37">
        <f>U286</f>
        <v>0</v>
      </c>
      <c r="W97" s="37">
        <f>W286</f>
        <v>0</v>
      </c>
      <c r="Y97" s="37">
        <f>Y286</f>
        <v>0</v>
      </c>
      <c r="AA97" s="37">
        <f>AA286</f>
        <v>0</v>
      </c>
      <c r="AC97" s="37">
        <f>AC286</f>
        <v>0</v>
      </c>
      <c r="AE97" s="37">
        <f>AE286</f>
        <v>0</v>
      </c>
      <c r="AG97" s="37">
        <f>AG286</f>
        <v>0</v>
      </c>
      <c r="AI97" s="37">
        <f>AI286</f>
        <v>0</v>
      </c>
    </row>
    <row r="98" spans="2:35" ht="13.5" thickBot="1">
      <c r="B98" t="s">
        <v>40</v>
      </c>
      <c r="O98" s="37">
        <f>stub*Q98</f>
        <v>2.61980327625</v>
      </c>
      <c r="Q98" s="37">
        <f>'Target P&amp;L'!M42+SUM(S397:S398,S410:S414)</f>
        <v>15.7188196575</v>
      </c>
      <c r="S98" s="96">
        <f>'Target P&amp;L'!O42</f>
        <v>0</v>
      </c>
      <c r="U98" s="96">
        <f>'Target P&amp;L'!Q42</f>
        <v>0</v>
      </c>
      <c r="W98" s="96">
        <f>'Target P&amp;L'!S42</f>
        <v>0</v>
      </c>
      <c r="Y98" s="96">
        <f>'Target P&amp;L'!U42</f>
        <v>0</v>
      </c>
      <c r="AA98" s="38">
        <f>Y98</f>
        <v>0</v>
      </c>
      <c r="AC98" s="37">
        <f>AA98</f>
        <v>0</v>
      </c>
      <c r="AE98" s="37">
        <f>AC98</f>
        <v>0</v>
      </c>
      <c r="AG98" s="37">
        <f>AE98</f>
        <v>0</v>
      </c>
      <c r="AI98" s="37">
        <f>AG98</f>
        <v>0</v>
      </c>
    </row>
    <row r="99" spans="3:35" ht="12.75">
      <c r="C99" t="s">
        <v>344</v>
      </c>
      <c r="O99" s="102">
        <f>SUM(O94:O98)</f>
        <v>2.848449109583333</v>
      </c>
      <c r="Q99" s="102">
        <f>SUM(Q94:Q98)</f>
        <v>15.947465490833332</v>
      </c>
      <c r="S99" s="102">
        <f>SUM(S94:S98)</f>
        <v>1.371875</v>
      </c>
      <c r="U99" s="102">
        <f>SUM(U94:U98)</f>
        <v>1.371875</v>
      </c>
      <c r="W99" s="102">
        <f>SUM(W94:W98)</f>
        <v>1.371875</v>
      </c>
      <c r="Y99" s="102">
        <f>SUM(Y94:Y98)</f>
        <v>1.3015625</v>
      </c>
      <c r="AA99" s="102">
        <f>SUM(AA94:AA98)</f>
        <v>0.7916666666666667</v>
      </c>
      <c r="AC99" s="102">
        <f>SUM(AC94:AC98)</f>
        <v>0</v>
      </c>
      <c r="AE99" s="102">
        <f>SUM(AE94:AE98)</f>
        <v>0</v>
      </c>
      <c r="AG99" s="102">
        <f>SUM(AG94:AG98)</f>
        <v>0</v>
      </c>
      <c r="AI99" s="102">
        <f>SUM(AI94:AI98)</f>
        <v>0</v>
      </c>
    </row>
    <row r="100" ht="13.5" thickBot="1"/>
    <row r="101" spans="1:35" ht="12.75">
      <c r="A101" t="s">
        <v>345</v>
      </c>
      <c r="O101" s="102">
        <f>O78-O91-O99</f>
        <v>7.24627482791667</v>
      </c>
      <c r="Q101" s="102">
        <f>Q78-Q91-Q99</f>
        <v>65.56392511333333</v>
      </c>
      <c r="S101" s="102">
        <f>S78-S91-S99</f>
        <v>85.39646862500001</v>
      </c>
      <c r="U101" s="102">
        <f>U78-U91-U99</f>
        <v>84.59646862500004</v>
      </c>
      <c r="W101" s="102">
        <f>W78-W91-W99</f>
        <v>85.60746862500001</v>
      </c>
      <c r="Y101" s="102">
        <f>Y78-Y91-Y99</f>
        <v>86.698891125</v>
      </c>
      <c r="AA101" s="102">
        <f>AA78-AA91-AA99</f>
        <v>123.14043815416669</v>
      </c>
      <c r="AC101" s="102">
        <f>AC78-AC91-AC99</f>
        <v>144.46452831800002</v>
      </c>
      <c r="AE101" s="102">
        <f>AE78-AE91-AE99</f>
        <v>145.62792360118002</v>
      </c>
      <c r="AG101" s="102">
        <f>AG78-AG91-AG99</f>
        <v>147.1154528371918</v>
      </c>
      <c r="AI101" s="102">
        <f>AI78-AI91-AI99</f>
        <v>149.8647323655637</v>
      </c>
    </row>
    <row r="102" spans="1:35" ht="12.75">
      <c r="A102" t="s">
        <v>350</v>
      </c>
      <c r="O102" s="37">
        <f>O279</f>
        <v>2.5361961897708345</v>
      </c>
      <c r="Q102" s="37">
        <f>Q279</f>
        <v>22.947373789666663</v>
      </c>
      <c r="S102" s="37">
        <f>S279</f>
        <v>29.888764018750003</v>
      </c>
      <c r="U102" s="37">
        <f>U279</f>
        <v>29.608764018750012</v>
      </c>
      <c r="W102" s="37">
        <f>W279</f>
        <v>29.962614018750003</v>
      </c>
      <c r="Y102" s="37">
        <f>Y279</f>
        <v>30.34461189375</v>
      </c>
      <c r="AA102" s="37">
        <f>AA279</f>
        <v>43.099153353958336</v>
      </c>
      <c r="AC102" s="37">
        <f>AC279</f>
        <v>50.56258491130001</v>
      </c>
      <c r="AE102" s="37">
        <f>AE279</f>
        <v>50.969773260413</v>
      </c>
      <c r="AG102" s="37">
        <f>AG279</f>
        <v>51.49040849301713</v>
      </c>
      <c r="AI102" s="37">
        <f>AI279</f>
        <v>52.45265632794729</v>
      </c>
    </row>
    <row r="103" spans="2:35" ht="13.5" thickBot="1">
      <c r="B103" s="19" t="s">
        <v>348</v>
      </c>
      <c r="O103" s="67">
        <f>O102/O101</f>
        <v>0.35</v>
      </c>
      <c r="Q103" s="67">
        <f>Q102/Q101</f>
        <v>0.35</v>
      </c>
      <c r="S103" s="67">
        <f>S102/S101</f>
        <v>0.35</v>
      </c>
      <c r="U103" s="67">
        <f>U102/U101</f>
        <v>0.35</v>
      </c>
      <c r="W103" s="67">
        <f>W102/W101</f>
        <v>0.35</v>
      </c>
      <c r="Y103" s="67">
        <f>Y102/Y101</f>
        <v>0.35</v>
      </c>
      <c r="AA103" s="67">
        <f>AA102/AA101</f>
        <v>0.35</v>
      </c>
      <c r="AC103" s="67">
        <f>AC102/AC101</f>
        <v>0.35</v>
      </c>
      <c r="AE103" s="67">
        <f>AE102/AE101</f>
        <v>0.35</v>
      </c>
      <c r="AG103" s="67">
        <f>AG102/AG101</f>
        <v>0.35</v>
      </c>
      <c r="AI103" s="67">
        <f>AI102/AI101</f>
        <v>0.35</v>
      </c>
    </row>
    <row r="104" spans="1:35" ht="12.75">
      <c r="A104" t="s">
        <v>349</v>
      </c>
      <c r="O104" s="102">
        <f>O101-O102</f>
        <v>4.710078638145836</v>
      </c>
      <c r="Q104" s="102">
        <f>Q101-Q102</f>
        <v>42.61655132366666</v>
      </c>
      <c r="S104" s="102">
        <f>S101-S102</f>
        <v>55.50770460625001</v>
      </c>
      <c r="U104" s="102">
        <f>U101-U102</f>
        <v>54.987704606250034</v>
      </c>
      <c r="W104" s="102">
        <f>W101-W102</f>
        <v>55.64485460625001</v>
      </c>
      <c r="Y104" s="102">
        <f>Y101-Y102</f>
        <v>56.354279231250004</v>
      </c>
      <c r="AA104" s="102">
        <f>AA101-AA102</f>
        <v>80.04128480020836</v>
      </c>
      <c r="AC104" s="102">
        <f>AC101-AC102</f>
        <v>93.90194340670001</v>
      </c>
      <c r="AE104" s="102">
        <f>AE101-AE102</f>
        <v>94.65815034076701</v>
      </c>
      <c r="AG104" s="102">
        <f>AG101-AG102</f>
        <v>95.62504434417468</v>
      </c>
      <c r="AI104" s="102">
        <f>AI101-AI102</f>
        <v>97.4120760376164</v>
      </c>
    </row>
    <row r="105" spans="1:35" ht="12.75">
      <c r="A105" s="67"/>
      <c r="B105" s="67" t="s">
        <v>28</v>
      </c>
      <c r="C105" s="67"/>
      <c r="O105" s="67">
        <f>O104/O$50</f>
        <v>0.06169061739549229</v>
      </c>
      <c r="Q105" s="67">
        <f>Q104/Q$50</f>
        <v>0.09302892670523175</v>
      </c>
      <c r="S105" s="67">
        <f>S104/S$50</f>
        <v>0.11860620642361114</v>
      </c>
      <c r="U105" s="67">
        <f>U104/U$50</f>
        <v>0.11687078556057394</v>
      </c>
      <c r="W105" s="67">
        <f>W104/W$50</f>
        <v>0.1170965259335445</v>
      </c>
      <c r="Y105" s="67">
        <f>Y104/Y$50</f>
        <v>0.11741525461757467</v>
      </c>
      <c r="AA105" s="67">
        <f>AA104/AA$50</f>
        <v>0.16511643454740269</v>
      </c>
      <c r="AC105" s="67">
        <f>AC104/AC$50</f>
        <v>0.1917915450001626</v>
      </c>
      <c r="AE105" s="67">
        <f>AE104/AE$50</f>
        <v>0.19142185356336</v>
      </c>
      <c r="AG105" s="67">
        <f>AG104/AG$50</f>
        <v>0.19146252368842082</v>
      </c>
      <c r="AI105" s="67">
        <f>AI104/AI$50</f>
        <v>0.19310946241612992</v>
      </c>
    </row>
    <row r="106" spans="1:3" ht="12.75">
      <c r="A106" s="67"/>
      <c r="B106" s="67"/>
      <c r="C106" s="67"/>
    </row>
    <row r="107" spans="1:3" ht="12.75">
      <c r="A107" t="str">
        <f>B367</f>
        <v>Preferred Stock - A</v>
      </c>
      <c r="C107" s="67"/>
    </row>
    <row r="108" spans="1:3" ht="12.75">
      <c r="A108" t="str">
        <f>B368</f>
        <v>Preferred Stock - B</v>
      </c>
      <c r="C108" s="67"/>
    </row>
    <row r="109" spans="1:35" ht="12.75">
      <c r="A109" t="s">
        <v>351</v>
      </c>
      <c r="C109" s="67"/>
      <c r="O109" s="38">
        <v>0</v>
      </c>
      <c r="Q109" s="38">
        <v>0</v>
      </c>
      <c r="S109" s="38">
        <v>0</v>
      </c>
      <c r="U109" s="38">
        <v>0</v>
      </c>
      <c r="W109" s="38">
        <v>0</v>
      </c>
      <c r="Y109" s="38">
        <v>0</v>
      </c>
      <c r="AA109" s="38">
        <v>0</v>
      </c>
      <c r="AC109" s="38">
        <v>0</v>
      </c>
      <c r="AE109" s="38">
        <v>0</v>
      </c>
      <c r="AG109" s="38">
        <v>0</v>
      </c>
      <c r="AI109" s="38">
        <v>0</v>
      </c>
    </row>
    <row r="110" spans="1:35" ht="12.75">
      <c r="A110" t="s">
        <v>352</v>
      </c>
      <c r="C110" s="67"/>
      <c r="O110" s="37">
        <f>stub*Q110</f>
        <v>0</v>
      </c>
      <c r="Q110" s="96">
        <f>'Target P&amp;L'!M41</f>
        <v>0</v>
      </c>
      <c r="S110" s="96">
        <f>'Target P&amp;L'!O41</f>
        <v>0</v>
      </c>
      <c r="U110" s="96">
        <f>'Target P&amp;L'!Q41</f>
        <v>0</v>
      </c>
      <c r="W110" s="96">
        <f>'Target P&amp;L'!S41</f>
        <v>0</v>
      </c>
      <c r="Y110" s="96">
        <f>'Target P&amp;L'!U41</f>
        <v>0</v>
      </c>
      <c r="AA110" s="94">
        <f>AA50*Y110/Y50</f>
        <v>0</v>
      </c>
      <c r="AC110" s="94">
        <f>AC50*AA110/AA50</f>
        <v>0</v>
      </c>
      <c r="AE110" s="94">
        <f>AE50*AC110/AC50</f>
        <v>0</v>
      </c>
      <c r="AG110" s="94">
        <f>AG50*AE110/AE50</f>
        <v>0</v>
      </c>
      <c r="AI110" s="94">
        <f>AI50*AG110/AG50</f>
        <v>0</v>
      </c>
    </row>
    <row r="111" spans="1:3" ht="13.5" thickBot="1">
      <c r="A111" s="67"/>
      <c r="B111" s="67"/>
      <c r="C111" s="67"/>
    </row>
    <row r="112" spans="1:35" ht="13.5" thickBot="1">
      <c r="A112" s="10" t="s">
        <v>353</v>
      </c>
      <c r="B112" s="67"/>
      <c r="C112" s="67"/>
      <c r="O112" s="106">
        <f>O104-SUM(O107:O110)</f>
        <v>4.710078638145836</v>
      </c>
      <c r="Q112" s="106">
        <f>Q104-SUM(Q107:Q110)</f>
        <v>42.61655132366666</v>
      </c>
      <c r="S112" s="106">
        <f>S104-SUM(S107:S110)</f>
        <v>55.50770460625001</v>
      </c>
      <c r="U112" s="106">
        <f>U104-SUM(U107:U110)</f>
        <v>54.987704606250034</v>
      </c>
      <c r="W112" s="106">
        <f>W104-SUM(W107:W110)</f>
        <v>55.64485460625001</v>
      </c>
      <c r="Y112" s="106">
        <f>Y104-SUM(Y107:Y110)</f>
        <v>56.354279231250004</v>
      </c>
      <c r="AA112" s="106">
        <f>AA104-SUM(AA107:AA110)</f>
        <v>80.04128480020836</v>
      </c>
      <c r="AC112" s="106">
        <f>AC104-SUM(AC107:AC110)</f>
        <v>93.90194340670001</v>
      </c>
      <c r="AE112" s="106">
        <f>AE104-SUM(AE107:AE110)</f>
        <v>94.65815034076701</v>
      </c>
      <c r="AG112" s="106">
        <f>AG104-SUM(AG107:AG110)</f>
        <v>95.62504434417468</v>
      </c>
      <c r="AI112" s="106">
        <f>AI104-SUM(AI107:AI110)</f>
        <v>97.4120760376164</v>
      </c>
    </row>
    <row r="113" spans="1:3" ht="13.5" thickTop="1">
      <c r="A113" s="67"/>
      <c r="B113" s="67"/>
      <c r="C113" s="67"/>
    </row>
    <row r="114" spans="1:35" ht="13.5" customHeight="1">
      <c r="A114" s="4" t="s">
        <v>70</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ht="12.75">
      <c r="A115" s="3" t="str">
        <f>$A$2</f>
        <v>($ in millions, except per share data)</v>
      </c>
    </row>
    <row r="116" spans="7:35" ht="13.5" thickBot="1">
      <c r="G116" s="100" t="s">
        <v>71</v>
      </c>
      <c r="H116" s="100"/>
      <c r="I116" s="100"/>
      <c r="K116" s="100" t="s">
        <v>72</v>
      </c>
      <c r="L116" s="100"/>
      <c r="M116" s="100"/>
      <c r="O116" s="22" t="s">
        <v>73</v>
      </c>
      <c r="Q116" s="20" t="str">
        <f>Q317</f>
        <v>Projected Fiscal Years Ending September 30,</v>
      </c>
      <c r="R116" s="20"/>
      <c r="S116" s="20"/>
      <c r="T116" s="20"/>
      <c r="U116" s="20"/>
      <c r="V116" s="20"/>
      <c r="W116" s="20"/>
      <c r="X116" s="20"/>
      <c r="Y116" s="20"/>
      <c r="Z116" s="20"/>
      <c r="AA116" s="20"/>
      <c r="AB116" s="20"/>
      <c r="AC116" s="20"/>
      <c r="AD116" s="20"/>
      <c r="AE116" s="20"/>
      <c r="AF116" s="20"/>
      <c r="AG116" s="20"/>
      <c r="AH116" s="20"/>
      <c r="AI116" s="20"/>
    </row>
    <row r="117" spans="5:35" ht="12.75">
      <c r="E117" s="81"/>
      <c r="G117" s="81">
        <f>Q117-1</f>
        <v>0</v>
      </c>
      <c r="I117" s="81" t="str">
        <f>TEXT(ltm_date,"mmm d")</f>
        <v>Mar 31</v>
      </c>
      <c r="M117" s="22" t="s">
        <v>74</v>
      </c>
      <c r="O117" s="22" t="s">
        <v>75</v>
      </c>
      <c r="Q117" s="81">
        <f>Q318</f>
        <v>1</v>
      </c>
      <c r="S117" s="81">
        <f>S318</f>
        <v>2</v>
      </c>
      <c r="U117" s="81">
        <f>U318</f>
        <v>3</v>
      </c>
      <c r="W117" s="81">
        <f>W318</f>
        <v>4</v>
      </c>
      <c r="Y117" s="81">
        <f>Y318</f>
        <v>5</v>
      </c>
      <c r="AA117" s="81">
        <f>AA318</f>
        <v>6</v>
      </c>
      <c r="AC117" s="81">
        <f>AC318</f>
        <v>7</v>
      </c>
      <c r="AE117" s="81">
        <f>AE318</f>
        <v>8</v>
      </c>
      <c r="AG117" s="81">
        <f>AG318</f>
        <v>9</v>
      </c>
      <c r="AI117" s="81">
        <f>AI318</f>
        <v>10</v>
      </c>
    </row>
    <row r="118" spans="7:35" ht="13.5" thickBot="1">
      <c r="G118" s="82">
        <f>Q118-1</f>
        <v>2007</v>
      </c>
      <c r="I118" s="82" t="str">
        <f>TEXT(ltm_date,"YYYY")</f>
        <v>2008</v>
      </c>
      <c r="K118" s="82" t="s">
        <v>76</v>
      </c>
      <c r="M118" s="82" t="s">
        <v>66</v>
      </c>
      <c r="O118" s="101">
        <f>Y38</f>
        <v>39660</v>
      </c>
      <c r="Q118" s="82">
        <f>Q319</f>
        <v>2008</v>
      </c>
      <c r="S118" s="82">
        <f>S319</f>
        <v>2009</v>
      </c>
      <c r="U118" s="82">
        <f>U319</f>
        <v>2010</v>
      </c>
      <c r="W118" s="82">
        <f>W319</f>
        <v>2011</v>
      </c>
      <c r="Y118" s="82">
        <f>Y319</f>
        <v>2012</v>
      </c>
      <c r="AA118" s="82">
        <f>AA319</f>
        <v>2013</v>
      </c>
      <c r="AC118" s="82">
        <f>AC319</f>
        <v>2014</v>
      </c>
      <c r="AE118" s="82">
        <f>AE319</f>
        <v>2015</v>
      </c>
      <c r="AG118" s="82">
        <f>AG319</f>
        <v>2016</v>
      </c>
      <c r="AI118" s="82">
        <f>AI319</f>
        <v>2017</v>
      </c>
    </row>
    <row r="119" ht="12.75">
      <c r="A119" s="83" t="s">
        <v>77</v>
      </c>
    </row>
    <row r="120" spans="2:15" ht="12.75">
      <c r="B120" t="s">
        <v>78</v>
      </c>
      <c r="G120" s="77">
        <v>132.832</v>
      </c>
      <c r="I120" s="77">
        <v>146.606</v>
      </c>
      <c r="K120" s="76">
        <f>S378-S357</f>
        <v>-116.606</v>
      </c>
      <c r="O120" s="76">
        <f>SUM(I120:M120)</f>
        <v>30</v>
      </c>
    </row>
    <row r="121" spans="2:35" ht="12.75">
      <c r="B121" t="s">
        <v>79</v>
      </c>
      <c r="G121" s="38">
        <f>114.132+6.038</f>
        <v>120.17</v>
      </c>
      <c r="I121" s="38">
        <v>131.443</v>
      </c>
      <c r="O121" s="94">
        <f>SUM(I121:M121)</f>
        <v>131.443</v>
      </c>
      <c r="Q121" s="94">
        <f>Q221</f>
        <v>143.23034800190297</v>
      </c>
      <c r="S121" s="94">
        <f>S221</f>
        <v>146.32569933396766</v>
      </c>
      <c r="U121" s="94">
        <f>U221</f>
        <v>147.10735371075168</v>
      </c>
      <c r="W121" s="94">
        <f>W221</f>
        <v>148.57842724785917</v>
      </c>
      <c r="Y121" s="94">
        <f>Y221</f>
        <v>150.06421152033778</v>
      </c>
      <c r="AA121" s="94">
        <f>AA221</f>
        <v>151.56485363554114</v>
      </c>
      <c r="AC121" s="94">
        <f>AC221</f>
        <v>153.08050217189657</v>
      </c>
      <c r="AE121" s="94">
        <f>AE221</f>
        <v>154.61130719361554</v>
      </c>
      <c r="AG121" s="94">
        <f>AG221</f>
        <v>156.1574202655517</v>
      </c>
      <c r="AI121" s="94">
        <f>AI221</f>
        <v>157.71899446820723</v>
      </c>
    </row>
    <row r="122" spans="2:35" ht="12.75">
      <c r="B122" t="s">
        <v>80</v>
      </c>
      <c r="G122" s="38">
        <v>0</v>
      </c>
      <c r="I122" s="38">
        <v>0</v>
      </c>
      <c r="O122" s="94">
        <f>SUM(I122:M122)</f>
        <v>0</v>
      </c>
      <c r="Q122" s="94">
        <f aca="true" t="shared" si="9" ref="Q122:S124">Q222</f>
        <v>0</v>
      </c>
      <c r="S122" s="94">
        <f t="shared" si="9"/>
        <v>0</v>
      </c>
      <c r="U122" s="94">
        <f>U222</f>
        <v>0</v>
      </c>
      <c r="W122" s="94">
        <f>W222</f>
        <v>0</v>
      </c>
      <c r="Y122" s="94">
        <f>Y222</f>
        <v>0</v>
      </c>
      <c r="AA122" s="94">
        <f>AA222</f>
        <v>0</v>
      </c>
      <c r="AC122" s="94">
        <f>AC222</f>
        <v>0</v>
      </c>
      <c r="AE122" s="94">
        <f>AE222</f>
        <v>0</v>
      </c>
      <c r="AG122" s="94">
        <f>AG222</f>
        <v>0</v>
      </c>
      <c r="AI122" s="94">
        <f>AI222</f>
        <v>0</v>
      </c>
    </row>
    <row r="123" spans="2:35" ht="12.75">
      <c r="B123" t="s">
        <v>81</v>
      </c>
      <c r="G123" s="38">
        <v>10.657</v>
      </c>
      <c r="I123" s="38">
        <v>8.828</v>
      </c>
      <c r="O123" s="94">
        <f>SUM(I123:M123)</f>
        <v>8.828</v>
      </c>
      <c r="Q123" s="94">
        <f t="shared" si="9"/>
        <v>9.619664129400569</v>
      </c>
      <c r="S123" s="94">
        <f t="shared" si="9"/>
        <v>9.827554709800188</v>
      </c>
      <c r="U123" s="94">
        <f>U223</f>
        <v>9.880052331113223</v>
      </c>
      <c r="W123" s="94">
        <f>W223</f>
        <v>9.978852854424355</v>
      </c>
      <c r="Y123" s="94">
        <f>Y223</f>
        <v>10.078641382968598</v>
      </c>
      <c r="AA123" s="94">
        <f>AA223</f>
        <v>10.179427796798285</v>
      </c>
      <c r="AC123" s="94">
        <f>AC223</f>
        <v>10.28122207476627</v>
      </c>
      <c r="AE123" s="94">
        <f>AE223</f>
        <v>10.384034295513931</v>
      </c>
      <c r="AG123" s="94">
        <f>AG223</f>
        <v>10.487874638469071</v>
      </c>
      <c r="AI123" s="94">
        <f>AI223</f>
        <v>10.592753384853761</v>
      </c>
    </row>
    <row r="124" spans="2:35" ht="13.5" thickBot="1">
      <c r="B124" t="s">
        <v>82</v>
      </c>
      <c r="G124" s="38">
        <f>2.128+6.399</f>
        <v>8.527000000000001</v>
      </c>
      <c r="I124" s="38">
        <v>8.223</v>
      </c>
      <c r="O124" s="94">
        <f>SUM(I124:M124)</f>
        <v>8.223</v>
      </c>
      <c r="Q124" s="94">
        <f t="shared" si="9"/>
        <v>8.984180574555404</v>
      </c>
      <c r="S124" s="94">
        <f t="shared" si="9"/>
        <v>8.991679890560874</v>
      </c>
      <c r="U124" s="94">
        <f>U224</f>
        <v>9.081671682626537</v>
      </c>
      <c r="W124" s="94">
        <f>W224</f>
        <v>9.176238057455539</v>
      </c>
      <c r="Y124" s="94">
        <f>Y224</f>
        <v>9.27175009603283</v>
      </c>
      <c r="AA124" s="94">
        <f>AA224</f>
        <v>9.368217254995894</v>
      </c>
      <c r="AC124" s="94">
        <f>AC224</f>
        <v>9.46564908554859</v>
      </c>
      <c r="AE124" s="94">
        <f>AE224</f>
        <v>9.564055234406812</v>
      </c>
      <c r="AG124" s="94">
        <f>AG224</f>
        <v>9.663445444753615</v>
      </c>
      <c r="AI124" s="94">
        <f>AI224</f>
        <v>9.76382955720389</v>
      </c>
    </row>
    <row r="125" spans="3:35" ht="12.75">
      <c r="C125" t="s">
        <v>83</v>
      </c>
      <c r="G125" s="102">
        <f>SUM(G120:G124)</f>
        <v>272.186</v>
      </c>
      <c r="I125" s="102">
        <f>SUM(I120:I124)</f>
        <v>295.09999999999997</v>
      </c>
      <c r="O125" s="102">
        <f>SUM(O120:O124)</f>
        <v>178.49400000000003</v>
      </c>
      <c r="Q125" s="102">
        <f>SUM(Q120:Q124)</f>
        <v>161.83419270585895</v>
      </c>
      <c r="S125" s="102">
        <f>SUM(S120:S124)</f>
        <v>165.14493393432872</v>
      </c>
      <c r="U125" s="102">
        <f>SUM(U120:U124)</f>
        <v>166.06907772449145</v>
      </c>
      <c r="W125" s="102">
        <f>SUM(W120:W124)</f>
        <v>167.73351815973908</v>
      </c>
      <c r="Y125" s="102">
        <f>SUM(Y120:Y124)</f>
        <v>169.41460299933922</v>
      </c>
      <c r="AA125" s="102">
        <f>SUM(AA120:AA124)</f>
        <v>171.11249868733532</v>
      </c>
      <c r="AC125" s="102">
        <f>SUM(AC120:AC124)</f>
        <v>172.82737333221144</v>
      </c>
      <c r="AE125" s="102">
        <f>SUM(AE120:AE124)</f>
        <v>174.5593967235363</v>
      </c>
      <c r="AG125" s="102">
        <f>SUM(AG120:AG124)</f>
        <v>176.3087403487744</v>
      </c>
      <c r="AI125" s="102">
        <f>SUM(AI120:AI124)</f>
        <v>178.07557741026486</v>
      </c>
    </row>
    <row r="126" ht="4.5" customHeight="1"/>
    <row r="127" spans="2:15" ht="12.75">
      <c r="B127" t="s">
        <v>84</v>
      </c>
      <c r="G127" s="74">
        <f>G129-G128</f>
        <v>168.877</v>
      </c>
      <c r="I127" s="74">
        <f>I129-I128</f>
        <v>175.41400000000002</v>
      </c>
      <c r="M127" s="76">
        <f>AG21</f>
        <v>15</v>
      </c>
      <c r="O127" s="76">
        <f>SUM(I127:M127)</f>
        <v>190.41400000000002</v>
      </c>
    </row>
    <row r="128" spans="2:15" ht="13.5" thickBot="1">
      <c r="B128" t="s">
        <v>85</v>
      </c>
      <c r="G128" s="38">
        <f>-69.565-66.656</f>
        <v>-136.221</v>
      </c>
      <c r="I128" s="38">
        <f>-72.879-69.565</f>
        <v>-142.44400000000002</v>
      </c>
      <c r="O128" s="94">
        <f>SUM(I128:M128)</f>
        <v>-142.44400000000002</v>
      </c>
    </row>
    <row r="129" spans="3:15" ht="12.75">
      <c r="C129" t="s">
        <v>86</v>
      </c>
      <c r="G129" s="103">
        <v>32.656</v>
      </c>
      <c r="I129" s="103">
        <v>32.97</v>
      </c>
      <c r="O129" s="104">
        <f>SUM(O127:O128)</f>
        <v>47.97</v>
      </c>
    </row>
    <row r="130" ht="4.5" customHeight="1"/>
    <row r="131" spans="2:15" ht="12.75">
      <c r="B131" t="s">
        <v>87</v>
      </c>
      <c r="G131" s="91">
        <v>0</v>
      </c>
      <c r="I131" s="91">
        <v>0</v>
      </c>
      <c r="O131" s="105">
        <f aca="true" t="shared" si="10" ref="O131:O136">SUM(I131:M131)</f>
        <v>0</v>
      </c>
    </row>
    <row r="132" spans="2:15" ht="12.75">
      <c r="B132" t="s">
        <v>88</v>
      </c>
      <c r="G132" s="38">
        <v>0</v>
      </c>
      <c r="I132" s="38">
        <v>0</v>
      </c>
      <c r="K132" s="37">
        <f>S385</f>
        <v>6.4375</v>
      </c>
      <c r="O132" s="39">
        <f t="shared" si="10"/>
        <v>6.4375</v>
      </c>
    </row>
    <row r="133" spans="2:15" ht="12.75">
      <c r="B133" t="s">
        <v>89</v>
      </c>
      <c r="G133" s="38">
        <v>60.745</v>
      </c>
      <c r="I133" s="38">
        <v>61.094</v>
      </c>
      <c r="M133" s="39">
        <f>IF(LBO=1,AG23+goodwill,0)</f>
        <v>379.7989942812499</v>
      </c>
      <c r="O133" s="39">
        <f t="shared" si="10"/>
        <v>440.8929942812499</v>
      </c>
    </row>
    <row r="134" spans="2:15" ht="12.75">
      <c r="B134" t="s">
        <v>90</v>
      </c>
      <c r="G134" s="38">
        <f>31.526+8.649</f>
        <v>40.175</v>
      </c>
      <c r="I134" s="38">
        <v>37.491</v>
      </c>
      <c r="M134" s="37">
        <f>AG22</f>
        <v>116.28328187499997</v>
      </c>
      <c r="O134" s="39">
        <f t="shared" si="10"/>
        <v>153.77428187499999</v>
      </c>
    </row>
    <row r="135" spans="2:15" ht="12.75">
      <c r="B135" t="s">
        <v>91</v>
      </c>
      <c r="G135" s="38">
        <v>0</v>
      </c>
      <c r="I135" s="38">
        <v>0</v>
      </c>
      <c r="O135" s="39">
        <f t="shared" si="10"/>
        <v>0</v>
      </c>
    </row>
    <row r="136" spans="2:15" ht="13.5" thickBot="1">
      <c r="B136" t="s">
        <v>92</v>
      </c>
      <c r="G136" s="38">
        <f>9.453+7.173</f>
        <v>16.625999999999998</v>
      </c>
      <c r="I136" s="38">
        <v>14.29</v>
      </c>
      <c r="O136" s="39">
        <f t="shared" si="10"/>
        <v>14.29</v>
      </c>
    </row>
    <row r="137" spans="1:15" ht="13.5" thickBot="1">
      <c r="A137" s="10"/>
      <c r="B137" s="10"/>
      <c r="C137" s="10" t="s">
        <v>93</v>
      </c>
      <c r="G137" s="106">
        <f>SUM(G129:G136)+G125</f>
        <v>422.388</v>
      </c>
      <c r="I137" s="106">
        <f>SUM(I129:I136)+I125</f>
        <v>440.94499999999994</v>
      </c>
      <c r="O137" s="106">
        <f>SUM(O129:O136)+O125</f>
        <v>841.85877615625</v>
      </c>
    </row>
    <row r="138" ht="13.5" thickTop="1"/>
    <row r="139" ht="12.75">
      <c r="A139" s="83" t="s">
        <v>94</v>
      </c>
    </row>
    <row r="140" spans="2:15" ht="12.75">
      <c r="B140" t="s">
        <v>95</v>
      </c>
      <c r="G140" s="77">
        <v>0</v>
      </c>
      <c r="I140" s="77">
        <v>0</v>
      </c>
      <c r="K140" s="107">
        <f>-I140</f>
        <v>0</v>
      </c>
      <c r="O140" s="107">
        <f>SUM(I140:M140)</f>
        <v>0</v>
      </c>
    </row>
    <row r="141" spans="2:35" ht="12.75">
      <c r="B141" t="s">
        <v>96</v>
      </c>
      <c r="G141" s="38">
        <v>18.429</v>
      </c>
      <c r="I141" s="38">
        <v>20.662</v>
      </c>
      <c r="O141" s="39">
        <f>SUM(I141:M141)</f>
        <v>20.662</v>
      </c>
      <c r="Q141" s="39">
        <f>Q227</f>
        <v>22.574624715002276</v>
      </c>
      <c r="S141" s="39">
        <f>S227</f>
        <v>22.593468308253527</v>
      </c>
      <c r="U141" s="39">
        <f>U227</f>
        <v>22.819591427268573</v>
      </c>
      <c r="W141" s="39">
        <f>W227</f>
        <v>23.057209138166886</v>
      </c>
      <c r="Y141" s="39">
        <f>Y227</f>
        <v>23.297203026174184</v>
      </c>
      <c r="AA141" s="39">
        <f>AA227</f>
        <v>23.53959685306155</v>
      </c>
      <c r="AC141" s="39">
        <f>AC227</f>
        <v>23.784414618217795</v>
      </c>
      <c r="AE141" s="39">
        <f>AE227</f>
        <v>24.0316805610256</v>
      </c>
      <c r="AG141" s="39">
        <f>AG227</f>
        <v>24.281419163261482</v>
      </c>
      <c r="AI141" s="39">
        <f>AI227</f>
        <v>24.533655151519728</v>
      </c>
    </row>
    <row r="142" spans="2:35" ht="12.75">
      <c r="B142" t="s">
        <v>97</v>
      </c>
      <c r="G142" s="38">
        <f>21.042</f>
        <v>21.042</v>
      </c>
      <c r="I142" s="38">
        <v>15.38</v>
      </c>
      <c r="O142" s="39">
        <f>SUM(I142:M142)</f>
        <v>15.38</v>
      </c>
      <c r="Q142" s="39">
        <f aca="true" t="shared" si="11" ref="Q142:S144">Q228</f>
        <v>16.803684450524393</v>
      </c>
      <c r="S142" s="39">
        <f t="shared" si="11"/>
        <v>16.81771089831281</v>
      </c>
      <c r="U142" s="39">
        <f>U228</f>
        <v>16.986028271773822</v>
      </c>
      <c r="W142" s="39">
        <f>W228</f>
        <v>17.16290177838577</v>
      </c>
      <c r="Y142" s="39">
        <f>Y228</f>
        <v>17.341544020063836</v>
      </c>
      <c r="AA142" s="39">
        <f>AA228</f>
        <v>17.521972684158683</v>
      </c>
      <c r="AC142" s="39">
        <f>AC228</f>
        <v>17.70420563489448</v>
      </c>
      <c r="AE142" s="39">
        <f>AE228</f>
        <v>17.888260915137632</v>
      </c>
      <c r="AG142" s="39">
        <f>AG228</f>
        <v>18.074156748183217</v>
      </c>
      <c r="AI142" s="39">
        <f>AI228</f>
        <v>18.26191153955926</v>
      </c>
    </row>
    <row r="143" spans="2:35" ht="12.75">
      <c r="B143" t="s">
        <v>98</v>
      </c>
      <c r="G143" s="38">
        <v>26.657</v>
      </c>
      <c r="I143" s="38">
        <v>0</v>
      </c>
      <c r="O143" s="39">
        <f>SUM(I143:M143)</f>
        <v>0</v>
      </c>
      <c r="Q143" s="39">
        <f t="shared" si="11"/>
        <v>0</v>
      </c>
      <c r="S143" s="39">
        <f t="shared" si="11"/>
        <v>0</v>
      </c>
      <c r="U143" s="39">
        <f>U229</f>
        <v>0</v>
      </c>
      <c r="W143" s="39">
        <f>W229</f>
        <v>0</v>
      </c>
      <c r="Y143" s="39">
        <f>Y229</f>
        <v>0</v>
      </c>
      <c r="AA143" s="39">
        <f>AA229</f>
        <v>0</v>
      </c>
      <c r="AC143" s="39">
        <f>AC229</f>
        <v>0</v>
      </c>
      <c r="AE143" s="39">
        <f>AE229</f>
        <v>0</v>
      </c>
      <c r="AG143" s="39">
        <f>AG229</f>
        <v>0</v>
      </c>
      <c r="AI143" s="39">
        <f>AI229</f>
        <v>0</v>
      </c>
    </row>
    <row r="144" spans="2:35" ht="13.5" thickBot="1">
      <c r="B144" t="s">
        <v>99</v>
      </c>
      <c r="G144" s="38">
        <f>7.595+17.48</f>
        <v>25.075</v>
      </c>
      <c r="I144" s="38">
        <v>59.132999999999996</v>
      </c>
      <c r="O144" s="39">
        <f>SUM(I144:M144)</f>
        <v>59.132999999999996</v>
      </c>
      <c r="Q144" s="39">
        <f t="shared" si="11"/>
        <v>64.60677975376197</v>
      </c>
      <c r="S144" s="39">
        <f t="shared" si="11"/>
        <v>64.66070861833104</v>
      </c>
      <c r="U144" s="39">
        <f>U230</f>
        <v>65.30785499316003</v>
      </c>
      <c r="W144" s="39">
        <f>W230</f>
        <v>65.98789797537619</v>
      </c>
      <c r="Y144" s="39">
        <f>Y230</f>
        <v>66.67474138741449</v>
      </c>
      <c r="AA144" s="39">
        <f>AA230</f>
        <v>67.36845323357316</v>
      </c>
      <c r="AC144" s="39">
        <f>AC230</f>
        <v>68.06910219819345</v>
      </c>
      <c r="AE144" s="39">
        <f>AE230</f>
        <v>68.77675765245992</v>
      </c>
      <c r="AG144" s="39">
        <f>AG230</f>
        <v>69.49148966126906</v>
      </c>
      <c r="AI144" s="39">
        <f>AI230</f>
        <v>70.2133689901663</v>
      </c>
    </row>
    <row r="145" spans="3:35" ht="12.75">
      <c r="C145" t="s">
        <v>100</v>
      </c>
      <c r="G145" s="108">
        <f>SUM(G140:G144)</f>
        <v>91.203</v>
      </c>
      <c r="I145" s="108">
        <f>SUM(I140:I144)</f>
        <v>95.175</v>
      </c>
      <c r="O145" s="108">
        <f>SUM(O140:O144)</f>
        <v>95.175</v>
      </c>
      <c r="Q145" s="108">
        <f>SUM(Q140:Q144)</f>
        <v>103.98508891928864</v>
      </c>
      <c r="S145" s="108">
        <f>SUM(S140:S144)</f>
        <v>104.07188782489737</v>
      </c>
      <c r="U145" s="108">
        <f>SUM(U140:U144)</f>
        <v>105.11347469220243</v>
      </c>
      <c r="W145" s="108">
        <f>SUM(W140:W144)</f>
        <v>106.20800889192884</v>
      </c>
      <c r="Y145" s="108">
        <f>SUM(Y140:Y144)</f>
        <v>107.31348843365251</v>
      </c>
      <c r="AA145" s="108">
        <f>SUM(AA140:AA144)</f>
        <v>108.4300227707934</v>
      </c>
      <c r="AC145" s="108">
        <f>SUM(AC140:AC144)</f>
        <v>109.55772245130572</v>
      </c>
      <c r="AE145" s="108">
        <f>SUM(AE140:AE144)</f>
        <v>110.69669912862315</v>
      </c>
      <c r="AG145" s="108">
        <f>SUM(AG140:AG144)</f>
        <v>111.84706557271376</v>
      </c>
      <c r="AI145" s="108">
        <f>SUM(AI140:AI144)</f>
        <v>113.00893568124529</v>
      </c>
    </row>
    <row r="146" ht="4.5" customHeight="1"/>
    <row r="147" spans="2:15" ht="12.75">
      <c r="B147" t="s">
        <v>81</v>
      </c>
      <c r="G147" s="77">
        <v>0</v>
      </c>
      <c r="I147" s="77">
        <v>0</v>
      </c>
      <c r="M147" s="37">
        <f>-SUM(AG24:AG26)</f>
        <v>45.94914865624999</v>
      </c>
      <c r="O147" s="107">
        <f>SUM(I147:M147)</f>
        <v>45.94914865624999</v>
      </c>
    </row>
    <row r="148" spans="2:15" ht="12.75">
      <c r="B148" t="s">
        <v>101</v>
      </c>
      <c r="G148" s="38">
        <v>0</v>
      </c>
      <c r="I148" s="38">
        <v>0</v>
      </c>
      <c r="O148" s="39">
        <f>SUM(I148:M148)</f>
        <v>0</v>
      </c>
    </row>
    <row r="149" spans="2:15" ht="12.75">
      <c r="B149" t="s">
        <v>102</v>
      </c>
      <c r="G149" s="38">
        <f>9.79+4.918+3.953</f>
        <v>18.660999999999998</v>
      </c>
      <c r="I149" s="38">
        <v>17.917</v>
      </c>
      <c r="O149" s="39">
        <f>SUM(I149:M149)</f>
        <v>17.917</v>
      </c>
    </row>
    <row r="150" ht="4.5" customHeight="1"/>
    <row r="151" spans="2:15" ht="13.5" customHeight="1">
      <c r="B151" t="s">
        <v>182</v>
      </c>
      <c r="G151" s="38">
        <v>0</v>
      </c>
      <c r="I151" s="38">
        <v>0</v>
      </c>
      <c r="K151" s="37">
        <f>S360</f>
        <v>0</v>
      </c>
      <c r="O151" s="39">
        <f>SUM(I151:M151)</f>
        <v>0</v>
      </c>
    </row>
    <row r="152" spans="2:15" ht="13.5" customHeight="1">
      <c r="B152" t="s">
        <v>103</v>
      </c>
      <c r="G152" s="38">
        <v>230</v>
      </c>
      <c r="I152" s="38">
        <v>230</v>
      </c>
      <c r="K152" s="37">
        <f>IF(refi=1,-I152,I140)</f>
        <v>0</v>
      </c>
      <c r="O152" s="39">
        <f>SUM(I152:M152)</f>
        <v>230</v>
      </c>
    </row>
    <row r="153" spans="2:15" ht="13.5" customHeight="1">
      <c r="B153" t="str">
        <f aca="true" t="shared" si="12" ref="B153:B158">B361</f>
        <v>Term Loan - A</v>
      </c>
      <c r="G153" s="38">
        <v>0</v>
      </c>
      <c r="I153" s="38">
        <v>0</v>
      </c>
      <c r="K153" s="37">
        <f aca="true" t="shared" si="13" ref="K153:K158">S361</f>
        <v>150</v>
      </c>
      <c r="O153" s="39">
        <f aca="true" t="shared" si="14" ref="O153:O158">SUM(I153:M153)</f>
        <v>150</v>
      </c>
    </row>
    <row r="154" spans="2:15" ht="13.5" customHeight="1">
      <c r="B154" t="str">
        <f t="shared" si="12"/>
        <v>Term Loan - B</v>
      </c>
      <c r="G154" s="38">
        <v>0</v>
      </c>
      <c r="I154" s="38">
        <v>0</v>
      </c>
      <c r="K154" s="37">
        <f t="shared" si="13"/>
        <v>0</v>
      </c>
      <c r="O154" s="39">
        <f t="shared" si="14"/>
        <v>0</v>
      </c>
    </row>
    <row r="155" spans="2:15" ht="13.5" customHeight="1">
      <c r="B155" t="str">
        <f t="shared" si="12"/>
        <v>Senior Note</v>
      </c>
      <c r="G155" s="38">
        <v>0</v>
      </c>
      <c r="I155" s="38">
        <v>0</v>
      </c>
      <c r="K155" s="37">
        <f t="shared" si="13"/>
        <v>75</v>
      </c>
      <c r="O155" s="39">
        <f t="shared" si="14"/>
        <v>75</v>
      </c>
    </row>
    <row r="156" spans="2:15" ht="13.5" customHeight="1">
      <c r="B156" t="str">
        <f t="shared" si="12"/>
        <v>Subordinated Note</v>
      </c>
      <c r="G156" s="38">
        <v>0</v>
      </c>
      <c r="I156" s="38">
        <v>0</v>
      </c>
      <c r="K156" s="37">
        <f t="shared" si="13"/>
        <v>0</v>
      </c>
      <c r="O156" s="39">
        <f t="shared" si="14"/>
        <v>0</v>
      </c>
    </row>
    <row r="157" spans="2:15" ht="13.5" customHeight="1">
      <c r="B157" t="str">
        <f t="shared" si="12"/>
        <v>Mezzanine</v>
      </c>
      <c r="G157" s="38">
        <v>0</v>
      </c>
      <c r="I157" s="38">
        <v>0</v>
      </c>
      <c r="K157" s="37">
        <f t="shared" si="13"/>
        <v>0</v>
      </c>
      <c r="O157" s="39">
        <f t="shared" si="14"/>
        <v>0</v>
      </c>
    </row>
    <row r="158" spans="2:15" ht="13.5" customHeight="1" thickBot="1">
      <c r="B158" t="str">
        <f t="shared" si="12"/>
        <v>Seller Note</v>
      </c>
      <c r="G158" s="38">
        <v>0</v>
      </c>
      <c r="I158" s="38">
        <v>0</v>
      </c>
      <c r="K158" s="37">
        <f t="shared" si="13"/>
        <v>0</v>
      </c>
      <c r="O158" s="39">
        <f t="shared" si="14"/>
        <v>0</v>
      </c>
    </row>
    <row r="159" spans="1:15" ht="12.75">
      <c r="A159" s="24"/>
      <c r="B159" s="24"/>
      <c r="C159" s="24" t="s">
        <v>104</v>
      </c>
      <c r="G159" s="108">
        <f>SUM(G145:G152)</f>
        <v>339.86400000000003</v>
      </c>
      <c r="I159" s="108">
        <f>SUM(I145:I152)</f>
        <v>343.092</v>
      </c>
      <c r="O159" s="108">
        <f>SUM(O145:O158)</f>
        <v>614.04114865625</v>
      </c>
    </row>
    <row r="161" ht="12.75">
      <c r="A161" s="83" t="s">
        <v>105</v>
      </c>
    </row>
    <row r="162" spans="2:15" ht="12.75">
      <c r="B162" t="s">
        <v>106</v>
      </c>
      <c r="G162" s="77">
        <v>82.524</v>
      </c>
      <c r="I162" s="77">
        <v>97.8530000000001</v>
      </c>
      <c r="M162" s="76">
        <f>-I162</f>
        <v>-97.8530000000001</v>
      </c>
      <c r="O162" s="107">
        <f aca="true" t="shared" si="15" ref="O162:O171">SUM(I162:M162)</f>
        <v>0</v>
      </c>
    </row>
    <row r="163" spans="2:15" ht="12.75">
      <c r="B163" t="s">
        <v>220</v>
      </c>
      <c r="G163" s="38">
        <v>0</v>
      </c>
      <c r="I163" s="38">
        <v>0</v>
      </c>
      <c r="K163" s="37">
        <f>-S382</f>
        <v>0</v>
      </c>
      <c r="O163" s="39">
        <f t="shared" si="15"/>
        <v>0</v>
      </c>
    </row>
    <row r="164" spans="2:15" ht="12.75">
      <c r="B164" t="str">
        <f>B367</f>
        <v>Preferred Stock - A</v>
      </c>
      <c r="G164" s="38">
        <v>0</v>
      </c>
      <c r="I164" s="38">
        <v>0</v>
      </c>
      <c r="K164" s="37">
        <f aca="true" t="shared" si="16" ref="K164:K169">S367</f>
        <v>10</v>
      </c>
      <c r="O164" s="39">
        <f t="shared" si="15"/>
        <v>10</v>
      </c>
    </row>
    <row r="165" spans="2:15" ht="12.75">
      <c r="B165" t="str">
        <f>B368</f>
        <v>Preferred Stock - B</v>
      </c>
      <c r="G165" s="38">
        <v>0</v>
      </c>
      <c r="I165" s="38">
        <v>0</v>
      </c>
      <c r="K165" s="37">
        <f t="shared" si="16"/>
        <v>0</v>
      </c>
      <c r="O165" s="39">
        <f t="shared" si="15"/>
        <v>0</v>
      </c>
    </row>
    <row r="166" spans="2:15" ht="12.75">
      <c r="B166" t="str">
        <f>B369</f>
        <v>Common - Sponsor</v>
      </c>
      <c r="G166" s="38">
        <v>0</v>
      </c>
      <c r="I166" s="38">
        <v>0</v>
      </c>
      <c r="K166" s="37">
        <f t="shared" si="16"/>
        <v>233.6364471574999</v>
      </c>
      <c r="O166" s="39">
        <f t="shared" si="15"/>
        <v>233.6364471574999</v>
      </c>
    </row>
    <row r="167" spans="2:15" ht="12.75">
      <c r="B167" t="str">
        <f>B370</f>
        <v>Management Rollover</v>
      </c>
      <c r="G167" s="38">
        <v>0</v>
      </c>
      <c r="I167" s="38">
        <v>0</v>
      </c>
      <c r="K167" s="37">
        <f t="shared" si="16"/>
        <v>0</v>
      </c>
      <c r="O167" s="39">
        <f t="shared" si="15"/>
        <v>0</v>
      </c>
    </row>
    <row r="168" spans="2:15" ht="12.75">
      <c r="B168" t="str">
        <f>B371</f>
        <v>Investor Rollover</v>
      </c>
      <c r="G168" s="38">
        <v>0</v>
      </c>
      <c r="I168" s="38">
        <v>0</v>
      </c>
      <c r="K168" s="37">
        <f t="shared" si="16"/>
        <v>0</v>
      </c>
      <c r="O168" s="39">
        <f t="shared" si="15"/>
        <v>0</v>
      </c>
    </row>
    <row r="169" spans="2:15" ht="12.75">
      <c r="B169" t="s">
        <v>66</v>
      </c>
      <c r="G169" s="38">
        <v>0</v>
      </c>
      <c r="I169" s="38">
        <v>0</v>
      </c>
      <c r="K169" s="37">
        <f t="shared" si="16"/>
        <v>0</v>
      </c>
      <c r="O169" s="39">
        <f t="shared" si="15"/>
        <v>0</v>
      </c>
    </row>
    <row r="170" spans="2:15" ht="12.75">
      <c r="B170" t="s">
        <v>107</v>
      </c>
      <c r="G170" s="38">
        <v>0</v>
      </c>
      <c r="I170" s="38">
        <v>0</v>
      </c>
      <c r="O170" s="39">
        <f t="shared" si="15"/>
        <v>0</v>
      </c>
    </row>
    <row r="171" spans="2:15" ht="13.5" thickBot="1">
      <c r="B171" t="s">
        <v>108</v>
      </c>
      <c r="G171" s="38">
        <v>0</v>
      </c>
      <c r="I171" s="38">
        <v>0</v>
      </c>
      <c r="M171" s="37">
        <f>-S384</f>
        <v>-15.818819657499999</v>
      </c>
      <c r="O171" s="39">
        <f t="shared" si="15"/>
        <v>-15.818819657499999</v>
      </c>
    </row>
    <row r="172" spans="3:15" ht="12.75">
      <c r="C172" t="s">
        <v>109</v>
      </c>
      <c r="G172" s="108">
        <f>SUM(G162:G171)</f>
        <v>82.524</v>
      </c>
      <c r="I172" s="108">
        <f>SUM(I162:I171)</f>
        <v>97.8530000000001</v>
      </c>
      <c r="O172" s="108">
        <f>SUM(O162:O171)</f>
        <v>227.8176274999999</v>
      </c>
    </row>
    <row r="173" ht="13.5" thickBot="1"/>
    <row r="174" spans="3:15" s="10" customFormat="1" ht="13.5" thickBot="1">
      <c r="C174" s="10" t="s">
        <v>110</v>
      </c>
      <c r="G174" s="106">
        <f>G172+G159</f>
        <v>422.38800000000003</v>
      </c>
      <c r="I174" s="106">
        <f>I172+I159</f>
        <v>440.94500000000005</v>
      </c>
      <c r="O174" s="106">
        <f>O172+O159</f>
        <v>841.8587761562499</v>
      </c>
    </row>
    <row r="175" ht="13.5" thickTop="1"/>
    <row r="176" spans="1:15" s="19" customFormat="1" ht="12.75">
      <c r="A176" s="19" t="s">
        <v>111</v>
      </c>
      <c r="G176" s="109">
        <f>G174-G137</f>
        <v>0</v>
      </c>
      <c r="I176" s="109">
        <f>I174-I137</f>
        <v>0</v>
      </c>
      <c r="O176" s="109">
        <f>O174-O137</f>
        <v>0</v>
      </c>
    </row>
    <row r="178" spans="1:35" ht="12.75">
      <c r="A178" s="4" t="s">
        <v>241</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ht="12.75">
      <c r="A179" s="3" t="str">
        <f>$A$2</f>
        <v>($ in millions, except per share data)</v>
      </c>
    </row>
    <row r="180" spans="15:35" ht="13.5" thickBot="1">
      <c r="O180" s="22" t="str">
        <f>O$46</f>
        <v>2 Mos.</v>
      </c>
      <c r="Q180" s="20" t="str">
        <f>Q$317</f>
        <v>Projected Fiscal Years Ending September 30,</v>
      </c>
      <c r="R180" s="20"/>
      <c r="S180" s="20"/>
      <c r="T180" s="20"/>
      <c r="U180" s="20"/>
      <c r="V180" s="20"/>
      <c r="W180" s="20"/>
      <c r="X180" s="20"/>
      <c r="Y180" s="20"/>
      <c r="Z180" s="20"/>
      <c r="AA180" s="20"/>
      <c r="AB180" s="20"/>
      <c r="AC180" s="20"/>
      <c r="AD180" s="20"/>
      <c r="AE180" s="20"/>
      <c r="AF180" s="20"/>
      <c r="AG180" s="20"/>
      <c r="AH180" s="20"/>
      <c r="AI180" s="20"/>
    </row>
    <row r="181" spans="15:35" ht="12.75">
      <c r="O181" s="22" t="str">
        <f>O$47</f>
        <v>Ending</v>
      </c>
      <c r="Q181" s="81">
        <f>Q$318</f>
        <v>1</v>
      </c>
      <c r="S181" s="81">
        <f>S$318</f>
        <v>2</v>
      </c>
      <c r="U181" s="81">
        <f>U$318</f>
        <v>3</v>
      </c>
      <c r="W181" s="81">
        <f>W$318</f>
        <v>4</v>
      </c>
      <c r="Y181" s="81">
        <f>Y$318</f>
        <v>5</v>
      </c>
      <c r="AA181" s="81">
        <f>AA$318</f>
        <v>6</v>
      </c>
      <c r="AC181" s="81">
        <f>AC$318</f>
        <v>7</v>
      </c>
      <c r="AE181" s="81">
        <f>AE$318</f>
        <v>8</v>
      </c>
      <c r="AG181" s="81">
        <f>AG$318</f>
        <v>9</v>
      </c>
      <c r="AI181" s="81">
        <f>AI$318</f>
        <v>10</v>
      </c>
    </row>
    <row r="182" spans="15:35" ht="13.5" thickBot="1">
      <c r="O182" s="97" t="str">
        <f>O$48</f>
        <v>9/30/2008</v>
      </c>
      <c r="Q182" s="82">
        <f>Q$319</f>
        <v>2008</v>
      </c>
      <c r="S182" s="82">
        <f>S$319</f>
        <v>2009</v>
      </c>
      <c r="U182" s="82">
        <f>U$319</f>
        <v>2010</v>
      </c>
      <c r="W182" s="82">
        <f>W$319</f>
        <v>2011</v>
      </c>
      <c r="Y182" s="82">
        <f>Y$319</f>
        <v>2012</v>
      </c>
      <c r="AA182" s="82">
        <f>AA$319</f>
        <v>2013</v>
      </c>
      <c r="AC182" s="82">
        <f>AC$319</f>
        <v>2014</v>
      </c>
      <c r="AE182" s="82">
        <f>AE$319</f>
        <v>2015</v>
      </c>
      <c r="AG182" s="82">
        <f>AG$319</f>
        <v>2016</v>
      </c>
      <c r="AI182" s="82">
        <f>AI$319</f>
        <v>2017</v>
      </c>
    </row>
    <row r="183" ht="4.5" customHeight="1"/>
    <row r="184" spans="1:35" ht="12.75">
      <c r="A184" t="s">
        <v>242</v>
      </c>
      <c r="O184" s="159">
        <f>libor</f>
        <v>0.0278</v>
      </c>
      <c r="Q184" s="127">
        <v>0.03451</v>
      </c>
      <c r="R184" s="127"/>
      <c r="S184" s="127">
        <v>0.0403</v>
      </c>
      <c r="T184" s="127"/>
      <c r="U184" s="127">
        <v>0.0436</v>
      </c>
      <c r="V184" s="127"/>
      <c r="W184" s="127">
        <v>0.0465</v>
      </c>
      <c r="X184" s="127"/>
      <c r="Y184" s="127">
        <v>0.0481</v>
      </c>
      <c r="Z184" s="127"/>
      <c r="AA184" s="127">
        <v>0.0495</v>
      </c>
      <c r="AB184" s="127"/>
      <c r="AC184" s="127">
        <v>0.0505</v>
      </c>
      <c r="AD184" s="127"/>
      <c r="AE184" s="127">
        <v>0.0508</v>
      </c>
      <c r="AF184" s="127"/>
      <c r="AG184" s="127">
        <v>0.0515</v>
      </c>
      <c r="AH184" s="127"/>
      <c r="AI184" s="127">
        <v>0.0513</v>
      </c>
    </row>
    <row r="185" spans="15:35" ht="12.75">
      <c r="O185" s="159"/>
      <c r="Q185" s="127"/>
      <c r="R185" s="127"/>
      <c r="S185" s="127"/>
      <c r="T185" s="127"/>
      <c r="U185" s="127"/>
      <c r="V185" s="127"/>
      <c r="W185" s="127"/>
      <c r="X185" s="127"/>
      <c r="Y185" s="127"/>
      <c r="Z185" s="127"/>
      <c r="AA185" s="127"/>
      <c r="AB185" s="127"/>
      <c r="AC185" s="127"/>
      <c r="AD185" s="127"/>
      <c r="AE185" s="127"/>
      <c r="AF185" s="127"/>
      <c r="AG185" s="127"/>
      <c r="AH185" s="127"/>
      <c r="AI185" s="127"/>
    </row>
    <row r="186" spans="1:35" ht="13.5" thickBot="1">
      <c r="A186" s="83" t="s">
        <v>243</v>
      </c>
      <c r="M186" s="161" t="s">
        <v>246</v>
      </c>
      <c r="O186" s="159"/>
      <c r="Q186" s="127"/>
      <c r="R186" s="127"/>
      <c r="S186" s="127"/>
      <c r="T186" s="127"/>
      <c r="U186" s="127"/>
      <c r="V186" s="127"/>
      <c r="W186" s="127"/>
      <c r="X186" s="127"/>
      <c r="Y186" s="127"/>
      <c r="Z186" s="127"/>
      <c r="AA186" s="127"/>
      <c r="AB186" s="127"/>
      <c r="AC186" s="127"/>
      <c r="AD186" s="127"/>
      <c r="AE186" s="127"/>
      <c r="AF186" s="127"/>
      <c r="AG186" s="127"/>
      <c r="AH186" s="127"/>
      <c r="AI186" s="127"/>
    </row>
    <row r="187" spans="1:35" ht="12.75">
      <c r="A187" s="83"/>
      <c r="B187" t="s">
        <v>244</v>
      </c>
      <c r="M187" s="162"/>
      <c r="O187" s="159">
        <f>AO21</f>
        <v>0.025</v>
      </c>
      <c r="Q187" s="159">
        <f>O187</f>
        <v>0.025</v>
      </c>
      <c r="R187" s="127"/>
      <c r="S187" s="159">
        <f>Q187</f>
        <v>0.025</v>
      </c>
      <c r="T187" s="127"/>
      <c r="U187" s="159">
        <f>S187</f>
        <v>0.025</v>
      </c>
      <c r="V187" s="127"/>
      <c r="W187" s="159">
        <f>U187</f>
        <v>0.025</v>
      </c>
      <c r="X187" s="127"/>
      <c r="Y187" s="159">
        <f>W187</f>
        <v>0.025</v>
      </c>
      <c r="Z187" s="127"/>
      <c r="AA187" s="159">
        <f>Y187</f>
        <v>0.025</v>
      </c>
      <c r="AB187" s="127"/>
      <c r="AC187" s="159">
        <f>AA187</f>
        <v>0.025</v>
      </c>
      <c r="AD187" s="127"/>
      <c r="AE187" s="159">
        <f>AC187</f>
        <v>0.025</v>
      </c>
      <c r="AF187" s="127"/>
      <c r="AG187" s="159">
        <f>AE187</f>
        <v>0.025</v>
      </c>
      <c r="AH187" s="127"/>
      <c r="AI187" s="159">
        <f>AG187</f>
        <v>0.025</v>
      </c>
    </row>
    <row r="188" spans="2:35" ht="12.75">
      <c r="B188" t="str">
        <f>B360</f>
        <v>Revolver</v>
      </c>
      <c r="M188" s="134">
        <v>0.0425</v>
      </c>
      <c r="O188" s="163">
        <f>$M188+O$184</f>
        <v>0.0703</v>
      </c>
      <c r="Q188" s="163">
        <f>$M188+Q$184</f>
        <v>0.07701</v>
      </c>
      <c r="R188" s="127"/>
      <c r="S188" s="163">
        <f>$M188+S$184</f>
        <v>0.08280000000000001</v>
      </c>
      <c r="T188" s="127"/>
      <c r="U188" s="163">
        <f>$M188+U$184</f>
        <v>0.08610000000000001</v>
      </c>
      <c r="V188" s="127"/>
      <c r="W188" s="163">
        <f>$M188+W$184</f>
        <v>0.089</v>
      </c>
      <c r="X188" s="127"/>
      <c r="Y188" s="163">
        <f>$M188+Y$184</f>
        <v>0.0906</v>
      </c>
      <c r="Z188" s="127"/>
      <c r="AA188" s="163">
        <f>$M188+AA$184</f>
        <v>0.092</v>
      </c>
      <c r="AB188" s="127"/>
      <c r="AC188" s="163">
        <f>$M188+AC$184</f>
        <v>0.093</v>
      </c>
      <c r="AD188" s="127"/>
      <c r="AE188" s="163">
        <f>$M188+AE$184</f>
        <v>0.0933</v>
      </c>
      <c r="AF188" s="127"/>
      <c r="AG188" s="163">
        <f>$M188+AG$184</f>
        <v>0.094</v>
      </c>
      <c r="AH188" s="127"/>
      <c r="AI188" s="163">
        <f>$M188+AI$184</f>
        <v>0.0938</v>
      </c>
    </row>
    <row r="189" spans="2:35" ht="12.75">
      <c r="B189" t="str">
        <f aca="true" t="shared" si="17" ref="B189:B196">B361</f>
        <v>Term Loan - A</v>
      </c>
      <c r="M189" s="134">
        <v>0.0479</v>
      </c>
      <c r="O189" s="163">
        <f aca="true" t="shared" si="18" ref="O189:AI191">$M189+O$184</f>
        <v>0.07569999999999999</v>
      </c>
      <c r="Q189" s="163">
        <f t="shared" si="18"/>
        <v>0.08241</v>
      </c>
      <c r="R189" s="127"/>
      <c r="S189" s="163">
        <f t="shared" si="18"/>
        <v>0.0882</v>
      </c>
      <c r="T189" s="127"/>
      <c r="U189" s="163">
        <f t="shared" si="18"/>
        <v>0.0915</v>
      </c>
      <c r="V189" s="127"/>
      <c r="W189" s="163">
        <f t="shared" si="18"/>
        <v>0.0944</v>
      </c>
      <c r="X189" s="127"/>
      <c r="Y189" s="163">
        <f t="shared" si="18"/>
        <v>0.096</v>
      </c>
      <c r="Z189" s="127"/>
      <c r="AA189" s="163">
        <f t="shared" si="18"/>
        <v>0.0974</v>
      </c>
      <c r="AB189" s="127"/>
      <c r="AC189" s="163">
        <f t="shared" si="18"/>
        <v>0.0984</v>
      </c>
      <c r="AD189" s="127"/>
      <c r="AE189" s="163">
        <f t="shared" si="18"/>
        <v>0.0987</v>
      </c>
      <c r="AF189" s="127"/>
      <c r="AG189" s="163">
        <f t="shared" si="18"/>
        <v>0.09939999999999999</v>
      </c>
      <c r="AH189" s="127"/>
      <c r="AI189" s="163">
        <f t="shared" si="18"/>
        <v>0.0992</v>
      </c>
    </row>
    <row r="190" spans="2:35" ht="12.75">
      <c r="B190" t="str">
        <f t="shared" si="17"/>
        <v>Term Loan - B</v>
      </c>
      <c r="M190" s="134">
        <v>0.06</v>
      </c>
      <c r="O190" s="163">
        <f t="shared" si="18"/>
        <v>0.08779999999999999</v>
      </c>
      <c r="Q190" s="163">
        <f t="shared" si="18"/>
        <v>0.09451</v>
      </c>
      <c r="R190" s="127"/>
      <c r="S190" s="163">
        <f t="shared" si="18"/>
        <v>0.1003</v>
      </c>
      <c r="T190" s="127"/>
      <c r="U190" s="163">
        <f t="shared" si="18"/>
        <v>0.1036</v>
      </c>
      <c r="V190" s="127"/>
      <c r="W190" s="163">
        <f t="shared" si="18"/>
        <v>0.1065</v>
      </c>
      <c r="X190" s="127"/>
      <c r="Y190" s="163">
        <f t="shared" si="18"/>
        <v>0.1081</v>
      </c>
      <c r="Z190" s="127"/>
      <c r="AA190" s="163">
        <f t="shared" si="18"/>
        <v>0.1095</v>
      </c>
      <c r="AB190" s="127"/>
      <c r="AC190" s="163">
        <f t="shared" si="18"/>
        <v>0.1105</v>
      </c>
      <c r="AD190" s="127"/>
      <c r="AE190" s="163">
        <f t="shared" si="18"/>
        <v>0.1108</v>
      </c>
      <c r="AF190" s="127"/>
      <c r="AG190" s="163">
        <f t="shared" si="18"/>
        <v>0.11149999999999999</v>
      </c>
      <c r="AH190" s="127"/>
      <c r="AI190" s="163">
        <f t="shared" si="18"/>
        <v>0.1113</v>
      </c>
    </row>
    <row r="191" spans="2:35" ht="12.75">
      <c r="B191" t="str">
        <f t="shared" si="17"/>
        <v>Senior Note</v>
      </c>
      <c r="M191" s="134">
        <v>0.065</v>
      </c>
      <c r="O191" s="163">
        <f t="shared" si="18"/>
        <v>0.0928</v>
      </c>
      <c r="Q191" s="163">
        <f t="shared" si="18"/>
        <v>0.09951</v>
      </c>
      <c r="R191" s="127"/>
      <c r="S191" s="163">
        <f t="shared" si="18"/>
        <v>0.1053</v>
      </c>
      <c r="T191" s="127"/>
      <c r="U191" s="163">
        <f t="shared" si="18"/>
        <v>0.1086</v>
      </c>
      <c r="V191" s="127"/>
      <c r="W191" s="163">
        <f t="shared" si="18"/>
        <v>0.1115</v>
      </c>
      <c r="X191" s="127"/>
      <c r="Y191" s="163">
        <f t="shared" si="18"/>
        <v>0.1131</v>
      </c>
      <c r="Z191" s="127"/>
      <c r="AA191" s="163">
        <f t="shared" si="18"/>
        <v>0.1145</v>
      </c>
      <c r="AB191" s="127"/>
      <c r="AC191" s="163">
        <f t="shared" si="18"/>
        <v>0.1155</v>
      </c>
      <c r="AD191" s="127"/>
      <c r="AE191" s="163">
        <f t="shared" si="18"/>
        <v>0.1158</v>
      </c>
      <c r="AF191" s="127"/>
      <c r="AG191" s="163">
        <f t="shared" si="18"/>
        <v>0.11649999999999999</v>
      </c>
      <c r="AH191" s="127"/>
      <c r="AI191" s="163">
        <f t="shared" si="18"/>
        <v>0.1163</v>
      </c>
    </row>
    <row r="192" spans="2:35" ht="12.75">
      <c r="B192" t="str">
        <f t="shared" si="17"/>
        <v>Subordinated Note</v>
      </c>
      <c r="O192" s="164">
        <v>0.1025</v>
      </c>
      <c r="Q192" s="159">
        <f>O192</f>
        <v>0.1025</v>
      </c>
      <c r="R192" s="127"/>
      <c r="S192" s="159">
        <f>Q192</f>
        <v>0.1025</v>
      </c>
      <c r="T192" s="127"/>
      <c r="U192" s="159">
        <f>S192</f>
        <v>0.1025</v>
      </c>
      <c r="V192" s="127"/>
      <c r="W192" s="159">
        <f>U192</f>
        <v>0.1025</v>
      </c>
      <c r="X192" s="127"/>
      <c r="Y192" s="159">
        <f>W192</f>
        <v>0.1025</v>
      </c>
      <c r="Z192" s="127"/>
      <c r="AA192" s="159">
        <f>Y192</f>
        <v>0.1025</v>
      </c>
      <c r="AB192" s="127"/>
      <c r="AC192" s="159">
        <f>AA192</f>
        <v>0.1025</v>
      </c>
      <c r="AD192" s="127"/>
      <c r="AE192" s="159">
        <f>AC192</f>
        <v>0.1025</v>
      </c>
      <c r="AF192" s="127"/>
      <c r="AG192" s="159">
        <f>AE192</f>
        <v>0.1025</v>
      </c>
      <c r="AH192" s="127"/>
      <c r="AI192" s="159">
        <f>AG192</f>
        <v>0.1025</v>
      </c>
    </row>
    <row r="193" spans="2:35" ht="12.75">
      <c r="B193" t="str">
        <f t="shared" si="17"/>
        <v>Mezzanine</v>
      </c>
      <c r="O193" s="164">
        <v>0.105</v>
      </c>
      <c r="Q193" s="159">
        <f aca="true" t="shared" si="19" ref="Q193:AI196">O193</f>
        <v>0.105</v>
      </c>
      <c r="R193" s="127"/>
      <c r="S193" s="159">
        <f t="shared" si="19"/>
        <v>0.105</v>
      </c>
      <c r="T193" s="127"/>
      <c r="U193" s="159">
        <f t="shared" si="19"/>
        <v>0.105</v>
      </c>
      <c r="V193" s="127"/>
      <c r="W193" s="159">
        <f t="shared" si="19"/>
        <v>0.105</v>
      </c>
      <c r="X193" s="127"/>
      <c r="Y193" s="159">
        <f t="shared" si="19"/>
        <v>0.105</v>
      </c>
      <c r="Z193" s="127"/>
      <c r="AA193" s="159">
        <f t="shared" si="19"/>
        <v>0.105</v>
      </c>
      <c r="AB193" s="127"/>
      <c r="AC193" s="159">
        <f t="shared" si="19"/>
        <v>0.105</v>
      </c>
      <c r="AD193" s="127"/>
      <c r="AE193" s="159">
        <f t="shared" si="19"/>
        <v>0.105</v>
      </c>
      <c r="AF193" s="127"/>
      <c r="AG193" s="159">
        <f t="shared" si="19"/>
        <v>0.105</v>
      </c>
      <c r="AH193" s="127"/>
      <c r="AI193" s="159">
        <f t="shared" si="19"/>
        <v>0.105</v>
      </c>
    </row>
    <row r="194" spans="2:35" ht="12.75">
      <c r="B194" t="str">
        <f t="shared" si="17"/>
        <v>Seller Note</v>
      </c>
      <c r="O194" s="164">
        <v>0.105</v>
      </c>
      <c r="Q194" s="159">
        <f t="shared" si="19"/>
        <v>0.105</v>
      </c>
      <c r="R194" s="127"/>
      <c r="S194" s="159">
        <f t="shared" si="19"/>
        <v>0.105</v>
      </c>
      <c r="T194" s="127"/>
      <c r="U194" s="159">
        <f t="shared" si="19"/>
        <v>0.105</v>
      </c>
      <c r="V194" s="127"/>
      <c r="W194" s="159">
        <f t="shared" si="19"/>
        <v>0.105</v>
      </c>
      <c r="X194" s="127"/>
      <c r="Y194" s="159">
        <f t="shared" si="19"/>
        <v>0.105</v>
      </c>
      <c r="Z194" s="127"/>
      <c r="AA194" s="159">
        <f t="shared" si="19"/>
        <v>0.105</v>
      </c>
      <c r="AB194" s="127"/>
      <c r="AC194" s="159">
        <f t="shared" si="19"/>
        <v>0.105</v>
      </c>
      <c r="AD194" s="127"/>
      <c r="AE194" s="159">
        <f t="shared" si="19"/>
        <v>0.105</v>
      </c>
      <c r="AF194" s="127"/>
      <c r="AG194" s="159">
        <f t="shared" si="19"/>
        <v>0.105</v>
      </c>
      <c r="AH194" s="127"/>
      <c r="AI194" s="159">
        <f t="shared" si="19"/>
        <v>0.105</v>
      </c>
    </row>
    <row r="195" spans="2:35" ht="12.75">
      <c r="B195" t="str">
        <f t="shared" si="17"/>
        <v>Preferred Stock - A</v>
      </c>
      <c r="O195" s="164">
        <v>0.14</v>
      </c>
      <c r="Q195" s="159">
        <f t="shared" si="19"/>
        <v>0.14</v>
      </c>
      <c r="S195" s="159">
        <f t="shared" si="19"/>
        <v>0.14</v>
      </c>
      <c r="U195" s="159">
        <f t="shared" si="19"/>
        <v>0.14</v>
      </c>
      <c r="W195" s="159">
        <f t="shared" si="19"/>
        <v>0.14</v>
      </c>
      <c r="Y195" s="159">
        <f t="shared" si="19"/>
        <v>0.14</v>
      </c>
      <c r="AA195" s="159">
        <f t="shared" si="19"/>
        <v>0.14</v>
      </c>
      <c r="AC195" s="159">
        <f t="shared" si="19"/>
        <v>0.14</v>
      </c>
      <c r="AE195" s="159">
        <f t="shared" si="19"/>
        <v>0.14</v>
      </c>
      <c r="AG195" s="159">
        <f t="shared" si="19"/>
        <v>0.14</v>
      </c>
      <c r="AI195" s="159">
        <f t="shared" si="19"/>
        <v>0.14</v>
      </c>
    </row>
    <row r="196" spans="2:35" ht="12.75">
      <c r="B196" t="str">
        <f t="shared" si="17"/>
        <v>Preferred Stock - B</v>
      </c>
      <c r="O196" s="164">
        <v>0.1425</v>
      </c>
      <c r="Q196" s="159">
        <f t="shared" si="19"/>
        <v>0.1425</v>
      </c>
      <c r="S196" s="159">
        <f t="shared" si="19"/>
        <v>0.1425</v>
      </c>
      <c r="U196" s="159">
        <f t="shared" si="19"/>
        <v>0.1425</v>
      </c>
      <c r="W196" s="159">
        <f t="shared" si="19"/>
        <v>0.1425</v>
      </c>
      <c r="Y196" s="159">
        <f t="shared" si="19"/>
        <v>0.1425</v>
      </c>
      <c r="AA196" s="159">
        <f t="shared" si="19"/>
        <v>0.1425</v>
      </c>
      <c r="AC196" s="159">
        <f t="shared" si="19"/>
        <v>0.1425</v>
      </c>
      <c r="AE196" s="159">
        <f t="shared" si="19"/>
        <v>0.1425</v>
      </c>
      <c r="AG196" s="159">
        <f t="shared" si="19"/>
        <v>0.1425</v>
      </c>
      <c r="AI196" s="159">
        <f t="shared" si="19"/>
        <v>0.1425</v>
      </c>
    </row>
    <row r="198" spans="2:7" ht="12.75">
      <c r="B198" t="s">
        <v>245</v>
      </c>
      <c r="G198" s="127">
        <v>0.005</v>
      </c>
    </row>
    <row r="200" ht="12.75">
      <c r="A200" s="83" t="s">
        <v>248</v>
      </c>
    </row>
    <row r="201" spans="5:13" ht="12.75">
      <c r="E201" s="110" t="s">
        <v>249</v>
      </c>
      <c r="G201" s="110" t="s">
        <v>250</v>
      </c>
      <c r="M201" s="6"/>
    </row>
    <row r="202" spans="5:13" ht="13.5" thickBot="1">
      <c r="E202" s="161" t="s">
        <v>251</v>
      </c>
      <c r="G202" s="161" t="s">
        <v>252</v>
      </c>
      <c r="I202" s="161" t="s">
        <v>253</v>
      </c>
      <c r="K202" s="161" t="s">
        <v>254</v>
      </c>
      <c r="M202" s="161" t="s">
        <v>255</v>
      </c>
    </row>
    <row r="203" spans="2:35" ht="12.75">
      <c r="B203" t="s">
        <v>244</v>
      </c>
      <c r="E203" s="37">
        <f>S358</f>
        <v>230</v>
      </c>
      <c r="G203" s="166">
        <v>0</v>
      </c>
      <c r="I203" s="129">
        <v>0</v>
      </c>
      <c r="J203" s="6"/>
      <c r="K203" s="167">
        <v>5</v>
      </c>
      <c r="L203" s="6"/>
      <c r="M203" s="167">
        <v>0</v>
      </c>
      <c r="O203" s="168">
        <f aca="true" t="shared" si="20" ref="O203:O209">stub*G203</f>
        <v>0</v>
      </c>
      <c r="Q203" s="168">
        <f>O203</f>
        <v>0</v>
      </c>
      <c r="S203" s="168">
        <f>IF(S$181&lt;=$K203,MIN($G203,1-SUM($Q203:Q203)),1-SUM($Q203:Q203))</f>
        <v>0</v>
      </c>
      <c r="U203" s="168">
        <f>IF(U$181&lt;=$K203,MIN($G203,1-SUM($Q203:S203)),1-SUM($Q203:S203))</f>
        <v>0</v>
      </c>
      <c r="W203" s="168">
        <f>IF(W$181&lt;=$K203,MIN($G203,1-SUM($Q203:U203)),1-SUM($Q203:U203))</f>
        <v>0</v>
      </c>
      <c r="Y203" s="168">
        <f>IF(Y$181&lt;=$K203,MIN($G203,1-SUM($Q203:W203)),1-SUM($Q203:W203))</f>
        <v>0</v>
      </c>
      <c r="AA203" s="168">
        <f>IF(AA$181&lt;=$K203,MIN($G203,1-SUM($Q203:Y203)),1-SUM($Q203:Y203))</f>
        <v>1</v>
      </c>
      <c r="AC203" s="168">
        <f>IF(AC$181&lt;=$K203,MIN($G203,1-SUM($Q203:AA203)),1-SUM($Q203:AA203))</f>
        <v>0</v>
      </c>
      <c r="AE203" s="168">
        <f>IF(AE$181&lt;=$K203,MIN($G203,1-SUM($Q203:AC203)),1-SUM($Q203:AC203))</f>
        <v>0</v>
      </c>
      <c r="AG203" s="168">
        <f>IF(AG$181&lt;=$K203,MIN($G203,1-SUM($Q203:AE203)),1-SUM($Q203:AE203))</f>
        <v>0</v>
      </c>
      <c r="AI203" s="168">
        <f>IF(AI$181&lt;=$K203,MIN($G203,1-SUM($Q203:AG203)),1-SUM($Q203:AG203))</f>
        <v>0</v>
      </c>
    </row>
    <row r="204" spans="2:35" ht="12.75">
      <c r="B204" t="str">
        <f aca="true" t="shared" si="21" ref="B204:B209">B361</f>
        <v>Term Loan - A</v>
      </c>
      <c r="E204" s="37">
        <f aca="true" t="shared" si="22" ref="E204:E209">S361</f>
        <v>150</v>
      </c>
      <c r="G204" s="35">
        <f>1/5</f>
        <v>0.2</v>
      </c>
      <c r="I204" s="129">
        <v>1</v>
      </c>
      <c r="J204" s="6"/>
      <c r="K204" s="167">
        <v>5</v>
      </c>
      <c r="L204" s="6"/>
      <c r="M204" s="167">
        <v>0</v>
      </c>
      <c r="O204" s="168">
        <f t="shared" si="20"/>
        <v>0.03333333333333333</v>
      </c>
      <c r="Q204" s="168">
        <f aca="true" t="shared" si="23" ref="Q204:Q209">O204</f>
        <v>0.03333333333333333</v>
      </c>
      <c r="S204" s="168">
        <f>IF(S$181&lt;=$K204,MIN($G204,1-SUM($Q204:Q204)),1-SUM($Q204:Q204))</f>
        <v>0.2</v>
      </c>
      <c r="U204" s="168">
        <f>IF(U$181&lt;=$K204,MIN($G204,1-SUM($Q204:S204)),1-SUM($Q204:S204))</f>
        <v>0.2</v>
      </c>
      <c r="W204" s="168">
        <f>IF(W$181&lt;=$K204,MIN($G204,1-SUM($Q204:U204)),1-SUM($Q204:U204))</f>
        <v>0.2</v>
      </c>
      <c r="Y204" s="168">
        <f>IF(Y$181&lt;=$K204,MIN($G204,1-SUM($Q204:W204)),1-SUM($Q204:W204))</f>
        <v>0.2</v>
      </c>
      <c r="AA204" s="168">
        <f>IF(AA$181&lt;=$K204,MIN($G204,1-SUM($Q204:Y204)),1-SUM($Q204:Y204))</f>
        <v>0.16666666666666674</v>
      </c>
      <c r="AC204" s="168">
        <f>IF(AC$181&lt;=$K204,MIN($G204,1-SUM($Q204:AA204)),1-SUM($Q204:AA204))</f>
        <v>0</v>
      </c>
      <c r="AE204" s="168">
        <f>IF(AE$181&lt;=$K204,MIN($G204,1-SUM($Q204:AC204)),1-SUM($Q204:AC204))</f>
        <v>0</v>
      </c>
      <c r="AG204" s="168">
        <f>IF(AG$181&lt;=$K204,MIN($G204,1-SUM($Q204:AE204)),1-SUM($Q204:AE204))</f>
        <v>0</v>
      </c>
      <c r="AI204" s="168">
        <f>IF(AI$181&lt;=$K204,MIN($G204,1-SUM($Q204:AG204)),1-SUM($Q204:AG204))</f>
        <v>0</v>
      </c>
    </row>
    <row r="205" spans="2:35" ht="12.75">
      <c r="B205" t="str">
        <f t="shared" si="21"/>
        <v>Term Loan - B</v>
      </c>
      <c r="E205" s="37">
        <f t="shared" si="22"/>
        <v>0</v>
      </c>
      <c r="G205" s="35">
        <v>0.05</v>
      </c>
      <c r="I205" s="129">
        <v>1</v>
      </c>
      <c r="J205" s="6"/>
      <c r="K205" s="167">
        <v>6</v>
      </c>
      <c r="L205" s="6"/>
      <c r="M205" s="167">
        <v>0</v>
      </c>
      <c r="O205" s="168">
        <f t="shared" si="20"/>
        <v>0.008333333333333333</v>
      </c>
      <c r="Q205" s="168">
        <f t="shared" si="23"/>
        <v>0.008333333333333333</v>
      </c>
      <c r="S205" s="168">
        <f>IF(S$181&lt;=$K205,MIN($G205,1-SUM($Q205:Q205)),1-SUM($Q205:Q205))</f>
        <v>0.05</v>
      </c>
      <c r="U205" s="168">
        <f>IF(U$181&lt;=$K205,MIN($G205,1-SUM($Q205:S205)),1-SUM($Q205:S205))</f>
        <v>0.05</v>
      </c>
      <c r="W205" s="168">
        <f>IF(W$181&lt;=$K205,MIN($G205,1-SUM($Q205:U205)),1-SUM($Q205:U205))</f>
        <v>0.05</v>
      </c>
      <c r="Y205" s="168">
        <f>IF(Y$181&lt;=$K205,MIN($G205,1-SUM($Q205:W205)),1-SUM($Q205:W205))</f>
        <v>0.05</v>
      </c>
      <c r="AA205" s="168">
        <f>IF(AA$181&lt;=$K205,MIN($G205,1-SUM($Q205:Y205)),1-SUM($Q205:Y205))</f>
        <v>0.05</v>
      </c>
      <c r="AC205" s="168">
        <f>IF(AC$181&lt;=$K205,MIN($G205,1-SUM($Q205:AA205)),1-SUM($Q205:AA205))</f>
        <v>0.7416666666666667</v>
      </c>
      <c r="AE205" s="168">
        <f>IF(AE$181&lt;=$K205,MIN($G205,1-SUM($Q205:AC205)),1-SUM($Q205:AC205))</f>
        <v>0</v>
      </c>
      <c r="AG205" s="168">
        <f>IF(AG$181&lt;=$K205,MIN($G205,1-SUM($Q205:AE205)),1-SUM($Q205:AE205))</f>
        <v>0</v>
      </c>
      <c r="AI205" s="168">
        <f>IF(AI$181&lt;=$K205,MIN($G205,1-SUM($Q205:AG205)),1-SUM($Q205:AG205))</f>
        <v>0</v>
      </c>
    </row>
    <row r="206" spans="2:35" ht="12.75">
      <c r="B206" t="str">
        <f t="shared" si="21"/>
        <v>Senior Note</v>
      </c>
      <c r="E206" s="37">
        <f t="shared" si="22"/>
        <v>75</v>
      </c>
      <c r="G206" s="35">
        <v>0</v>
      </c>
      <c r="I206" s="129">
        <v>0</v>
      </c>
      <c r="J206" s="6"/>
      <c r="K206" s="167">
        <v>4</v>
      </c>
      <c r="L206" s="6"/>
      <c r="M206" s="167">
        <v>0</v>
      </c>
      <c r="O206" s="168">
        <f t="shared" si="20"/>
        <v>0</v>
      </c>
      <c r="Q206" s="168">
        <f t="shared" si="23"/>
        <v>0</v>
      </c>
      <c r="S206" s="168">
        <f>IF(S$181&lt;=$K206,MIN($G206,1-SUM($Q206:Q206)),1-SUM($Q206:Q206))</f>
        <v>0</v>
      </c>
      <c r="U206" s="168">
        <f>IF(U$181&lt;=$K206,MIN($G206,1-SUM($Q206:S206)),1-SUM($Q206:S206))</f>
        <v>0</v>
      </c>
      <c r="W206" s="168">
        <f>IF(W$181&lt;=$K206,MIN($G206,1-SUM($Q206:U206)),1-SUM($Q206:U206))</f>
        <v>0</v>
      </c>
      <c r="Y206" s="168">
        <f>IF(Y$181&lt;=$K206,MIN($G206,1-SUM($Q206:W206)),1-SUM($Q206:W206))</f>
        <v>1</v>
      </c>
      <c r="AA206" s="168">
        <f>IF(AA$181&lt;=$K206,MIN($G206,1-SUM($Q206:Y206)),1-SUM($Q206:Y206))</f>
        <v>0</v>
      </c>
      <c r="AC206" s="168">
        <f>IF(AC$181&lt;=$K206,MIN($G206,1-SUM($Q206:AA206)),1-SUM($Q206:AA206))</f>
        <v>0</v>
      </c>
      <c r="AE206" s="168">
        <f>IF(AE$181&lt;=$K206,MIN($G206,1-SUM($Q206:AC206)),1-SUM($Q206:AC206))</f>
        <v>0</v>
      </c>
      <c r="AG206" s="168">
        <f>IF(AG$181&lt;=$K206,MIN($G206,1-SUM($Q206:AE206)),1-SUM($Q206:AE206))</f>
        <v>0</v>
      </c>
      <c r="AI206" s="168">
        <f>IF(AI$181&lt;=$K206,MIN($G206,1-SUM($Q206:AG206)),1-SUM($Q206:AG206))</f>
        <v>0</v>
      </c>
    </row>
    <row r="207" spans="2:35" ht="12.75">
      <c r="B207" t="str">
        <f t="shared" si="21"/>
        <v>Subordinated Note</v>
      </c>
      <c r="E207" s="37">
        <f t="shared" si="22"/>
        <v>0</v>
      </c>
      <c r="G207" s="35">
        <v>0</v>
      </c>
      <c r="I207" s="129">
        <v>0</v>
      </c>
      <c r="J207" s="6"/>
      <c r="K207" s="167">
        <v>4</v>
      </c>
      <c r="L207" s="6"/>
      <c r="M207" s="167">
        <v>5</v>
      </c>
      <c r="O207" s="168">
        <f t="shared" si="20"/>
        <v>0</v>
      </c>
      <c r="Q207" s="168">
        <f t="shared" si="23"/>
        <v>0</v>
      </c>
      <c r="S207" s="168">
        <f>IF(S$181&lt;=$K207,MIN($G207,1-SUM($Q207:Q207)),1-SUM($Q207:Q207))</f>
        <v>0</v>
      </c>
      <c r="U207" s="168">
        <f>IF(U$181&lt;=$K207,MIN($G207,1-SUM($Q207:S207)),1-SUM($Q207:S207))</f>
        <v>0</v>
      </c>
      <c r="W207" s="168">
        <f>IF(W$181&lt;=$K207,MIN($G207,1-SUM($Q207:U207)),1-SUM($Q207:U207))</f>
        <v>0</v>
      </c>
      <c r="Y207" s="168">
        <f>IF(Y$181&lt;=$K207,MIN($G207,1-SUM($Q207:W207)),1-SUM($Q207:W207))</f>
        <v>1</v>
      </c>
      <c r="AA207" s="168">
        <f>IF(AA$181&lt;=$K207,MIN($G207,1-SUM($Q207:Y207)),1-SUM($Q207:Y207))</f>
        <v>0</v>
      </c>
      <c r="AC207" s="168">
        <f>IF(AC$181&lt;=$K207,MIN($G207,1-SUM($Q207:AA207)),1-SUM($Q207:AA207))</f>
        <v>0</v>
      </c>
      <c r="AE207" s="168">
        <f>IF(AE$181&lt;=$K207,MIN($G207,1-SUM($Q207:AC207)),1-SUM($Q207:AC207))</f>
        <v>0</v>
      </c>
      <c r="AG207" s="168">
        <f>IF(AG$181&lt;=$K207,MIN($G207,1-SUM($Q207:AE207)),1-SUM($Q207:AE207))</f>
        <v>0</v>
      </c>
      <c r="AI207" s="168">
        <f>IF(AI$181&lt;=$K207,MIN($G207,1-SUM($Q207:AG207)),1-SUM($Q207:AG207))</f>
        <v>0</v>
      </c>
    </row>
    <row r="208" spans="2:35" ht="12.75">
      <c r="B208" t="str">
        <f t="shared" si="21"/>
        <v>Mezzanine</v>
      </c>
      <c r="E208" s="37">
        <f t="shared" si="22"/>
        <v>0</v>
      </c>
      <c r="G208" s="35">
        <v>0</v>
      </c>
      <c r="I208" s="129">
        <v>0</v>
      </c>
      <c r="J208" s="6"/>
      <c r="K208" s="167">
        <v>0</v>
      </c>
      <c r="L208" s="6"/>
      <c r="M208" s="167">
        <v>0</v>
      </c>
      <c r="O208" s="168">
        <f t="shared" si="20"/>
        <v>0</v>
      </c>
      <c r="Q208" s="168">
        <f t="shared" si="23"/>
        <v>0</v>
      </c>
      <c r="S208" s="168">
        <f>IF(S$181&lt;=$K208,MIN($G208,1-SUM($Q208:Q208)),1-SUM($Q208:Q208))</f>
        <v>1</v>
      </c>
      <c r="U208" s="168">
        <f>IF(U$181&lt;=$K208,MIN($G208,1-SUM($Q208:S208)),1-SUM($Q208:S208))</f>
        <v>0</v>
      </c>
      <c r="W208" s="168">
        <f>IF(W$181&lt;=$K208,MIN($G208,1-SUM($Q208:U208)),1-SUM($Q208:U208))</f>
        <v>0</v>
      </c>
      <c r="Y208" s="168">
        <f>IF(Y$181&lt;=$K208,MIN($G208,1-SUM($Q208:W208)),1-SUM($Q208:W208))</f>
        <v>0</v>
      </c>
      <c r="AA208" s="168">
        <f>IF(AA$181&lt;=$K208,MIN($G208,1-SUM($Q208:Y208)),1-SUM($Q208:Y208))</f>
        <v>0</v>
      </c>
      <c r="AC208" s="168">
        <f>IF(AC$181&lt;=$K208,MIN($G208,1-SUM($Q208:AA208)),1-SUM($Q208:AA208))</f>
        <v>0</v>
      </c>
      <c r="AE208" s="168">
        <f>IF(AE$181&lt;=$K208,MIN($G208,1-SUM($Q208:AC208)),1-SUM($Q208:AC208))</f>
        <v>0</v>
      </c>
      <c r="AG208" s="168">
        <f>IF(AG$181&lt;=$K208,MIN($G208,1-SUM($Q208:AE208)),1-SUM($Q208:AE208))</f>
        <v>0</v>
      </c>
      <c r="AI208" s="168">
        <f>IF(AI$181&lt;=$K208,MIN($G208,1-SUM($Q208:AG208)),1-SUM($Q208:AG208))</f>
        <v>0</v>
      </c>
    </row>
    <row r="209" spans="2:35" ht="12.75">
      <c r="B209" t="str">
        <f t="shared" si="21"/>
        <v>Seller Note</v>
      </c>
      <c r="E209" s="37">
        <f t="shared" si="22"/>
        <v>0</v>
      </c>
      <c r="G209" s="35">
        <v>0</v>
      </c>
      <c r="I209" s="129">
        <v>1</v>
      </c>
      <c r="J209" s="6"/>
      <c r="K209" s="167">
        <v>8</v>
      </c>
      <c r="L209" s="6"/>
      <c r="M209" s="167">
        <v>2</v>
      </c>
      <c r="O209" s="168">
        <f t="shared" si="20"/>
        <v>0</v>
      </c>
      <c r="Q209" s="168">
        <f t="shared" si="23"/>
        <v>0</v>
      </c>
      <c r="S209" s="168">
        <f>IF(S$181&lt;=$K209,MIN($G209,1-SUM($Q209:Q209)),1-SUM($Q209:Q209))</f>
        <v>0</v>
      </c>
      <c r="U209" s="168">
        <f>IF(U$181&lt;=$K209,MIN($G209,1-SUM($Q209:S209)),1-SUM($Q209:S209))</f>
        <v>0</v>
      </c>
      <c r="W209" s="168">
        <f>IF(W$181&lt;=$K209,MIN($G209,1-SUM($Q209:U209)),1-SUM($Q209:U209))</f>
        <v>0</v>
      </c>
      <c r="Y209" s="168">
        <f>IF(Y$181&lt;=$K209,MIN($G209,1-SUM($Q209:W209)),1-SUM($Q209:W209))</f>
        <v>0</v>
      </c>
      <c r="AA209" s="168">
        <f>IF(AA$181&lt;=$K209,MIN($G209,1-SUM($Q209:Y209)),1-SUM($Q209:Y209))</f>
        <v>0</v>
      </c>
      <c r="AC209" s="168">
        <f>IF(AC$181&lt;=$K209,MIN($G209,1-SUM($Q209:AA209)),1-SUM($Q209:AA209))</f>
        <v>0</v>
      </c>
      <c r="AE209" s="168">
        <f>IF(AE$181&lt;=$K209,MIN($G209,1-SUM($Q209:AC209)),1-SUM($Q209:AC209))</f>
        <v>0</v>
      </c>
      <c r="AG209" s="168">
        <f>IF(AG$181&lt;=$K209,MIN($G209,1-SUM($Q209:AE209)),1-SUM($Q209:AE209))</f>
        <v>1</v>
      </c>
      <c r="AI209" s="168">
        <f>IF(AI$181&lt;=$K209,MIN($G209,1-SUM($Q209:AG209)),1-SUM($Q209:AG209))</f>
        <v>0</v>
      </c>
    </row>
    <row r="211" spans="1:35" ht="12.75">
      <c r="A211" s="4" t="s">
        <v>302</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ht="12.75">
      <c r="A212" s="3" t="str">
        <f>$A$2</f>
        <v>($ in millions, except per share data)</v>
      </c>
    </row>
    <row r="213" spans="13:35" ht="13.5" thickBot="1">
      <c r="M213" s="82" t="s">
        <v>71</v>
      </c>
      <c r="O213" s="22" t="s">
        <v>73</v>
      </c>
      <c r="Q213" s="20" t="str">
        <f>Q$317</f>
        <v>Projected Fiscal Years Ending September 30,</v>
      </c>
      <c r="R213" s="20"/>
      <c r="S213" s="20"/>
      <c r="T213" s="20"/>
      <c r="U213" s="20"/>
      <c r="V213" s="20"/>
      <c r="W213" s="20"/>
      <c r="X213" s="20"/>
      <c r="Y213" s="20"/>
      <c r="Z213" s="20"/>
      <c r="AA213" s="20"/>
      <c r="AB213" s="20"/>
      <c r="AC213" s="20"/>
      <c r="AD213" s="20"/>
      <c r="AE213" s="20"/>
      <c r="AF213" s="20"/>
      <c r="AG213" s="20"/>
      <c r="AH213" s="20"/>
      <c r="AI213" s="20"/>
    </row>
    <row r="214" spans="13:35" ht="12.75">
      <c r="M214" s="81" t="s">
        <v>69</v>
      </c>
      <c r="O214" s="22" t="s">
        <v>75</v>
      </c>
      <c r="Q214" s="81">
        <f>Q$318</f>
        <v>1</v>
      </c>
      <c r="S214" s="81">
        <f>S$318</f>
        <v>2</v>
      </c>
      <c r="U214" s="81">
        <f>U$318</f>
        <v>3</v>
      </c>
      <c r="W214" s="81">
        <f>W$318</f>
        <v>4</v>
      </c>
      <c r="Y214" s="81">
        <f>Y$318</f>
        <v>5</v>
      </c>
      <c r="AA214" s="81">
        <f>AA$318</f>
        <v>6</v>
      </c>
      <c r="AC214" s="81">
        <f>AC$318</f>
        <v>7</v>
      </c>
      <c r="AE214" s="81">
        <f>AE$318</f>
        <v>8</v>
      </c>
      <c r="AG214" s="81">
        <f>AG$318</f>
        <v>9</v>
      </c>
      <c r="AI214" s="81">
        <f>AI$318</f>
        <v>10</v>
      </c>
    </row>
    <row r="215" spans="13:35" ht="13.5" thickBot="1">
      <c r="M215" s="99">
        <f>ltm_date</f>
        <v>39538</v>
      </c>
      <c r="O215" s="101">
        <f>Y38</f>
        <v>39660</v>
      </c>
      <c r="Q215" s="82">
        <f>Q$319</f>
        <v>2008</v>
      </c>
      <c r="S215" s="82">
        <f>S$319</f>
        <v>2009</v>
      </c>
      <c r="U215" s="82">
        <f>U$319</f>
        <v>2010</v>
      </c>
      <c r="W215" s="82">
        <f>W$319</f>
        <v>2011</v>
      </c>
      <c r="Y215" s="82">
        <f>Y$319</f>
        <v>2012</v>
      </c>
      <c r="AA215" s="82">
        <f>AA$319</f>
        <v>2013</v>
      </c>
      <c r="AC215" s="82">
        <f>AC$319</f>
        <v>2014</v>
      </c>
      <c r="AE215" s="82">
        <f>AE$319</f>
        <v>2015</v>
      </c>
      <c r="AG215" s="82">
        <f>AG$319</f>
        <v>2016</v>
      </c>
      <c r="AI215" s="82">
        <f>AI$319</f>
        <v>2017</v>
      </c>
    </row>
    <row r="216" ht="4.5" customHeight="1"/>
    <row r="217" spans="1:35" ht="12.75">
      <c r="A217" t="s">
        <v>303</v>
      </c>
      <c r="M217" s="76">
        <f>M50</f>
        <v>420.4</v>
      </c>
      <c r="O217" s="15" t="s">
        <v>368</v>
      </c>
      <c r="Q217" s="76">
        <f>Q50</f>
        <v>458.09999999999997</v>
      </c>
      <c r="S217" s="76">
        <f>S50</f>
        <v>467.99999999999994</v>
      </c>
      <c r="U217" s="76">
        <f>U50</f>
        <v>470.49999999999994</v>
      </c>
      <c r="W217" s="76">
        <f>W50</f>
        <v>475.2049999999999</v>
      </c>
      <c r="Y217" s="76">
        <f>Y50</f>
        <v>479.9570499999999</v>
      </c>
      <c r="AA217" s="76">
        <f>AA50</f>
        <v>484.75662049999994</v>
      </c>
      <c r="AC217" s="76">
        <f>AC50</f>
        <v>489.60418670499996</v>
      </c>
      <c r="AE217" s="76">
        <f>AE50</f>
        <v>494.50022857205</v>
      </c>
      <c r="AG217" s="76">
        <f>AG50</f>
        <v>499.44523085777047</v>
      </c>
      <c r="AI217" s="76">
        <f>AI50</f>
        <v>504.4396831663482</v>
      </c>
    </row>
    <row r="218" spans="1:35" ht="12.75">
      <c r="A218" t="s">
        <v>25</v>
      </c>
      <c r="M218" s="37">
        <f>M53</f>
        <v>219.3</v>
      </c>
      <c r="O218" s="15" t="s">
        <v>368</v>
      </c>
      <c r="Q218" s="37">
        <f>Q53</f>
        <v>239.6</v>
      </c>
      <c r="S218" s="37">
        <f>S53</f>
        <v>239.79999999999995</v>
      </c>
      <c r="U218" s="37">
        <f>U53</f>
        <v>242.19999999999993</v>
      </c>
      <c r="W218" s="37">
        <f>W53</f>
        <v>244.72199999999995</v>
      </c>
      <c r="Y218" s="37">
        <f>Y53</f>
        <v>247.26921999999996</v>
      </c>
      <c r="AA218" s="37">
        <f>AA53</f>
        <v>249.84191219999994</v>
      </c>
      <c r="AC218" s="37">
        <f>AC53</f>
        <v>252.44033132199996</v>
      </c>
      <c r="AE218" s="37">
        <f>AE53</f>
        <v>255.06473463521996</v>
      </c>
      <c r="AG218" s="37">
        <f>AG53</f>
        <v>257.71538198157214</v>
      </c>
      <c r="AI218" s="37">
        <f>AI53</f>
        <v>260.3925358013879</v>
      </c>
    </row>
    <row r="219" spans="9:11" ht="13.5" thickBot="1">
      <c r="I219" s="100" t="s">
        <v>308</v>
      </c>
      <c r="J219" s="100"/>
      <c r="K219" s="100"/>
    </row>
    <row r="220" spans="1:11" ht="13.5" thickBot="1">
      <c r="A220" s="10" t="s">
        <v>304</v>
      </c>
      <c r="I220" s="82" t="s">
        <v>309</v>
      </c>
      <c r="K220" s="82" t="s">
        <v>148</v>
      </c>
    </row>
    <row r="221" spans="2:35" ht="12.75">
      <c r="B221" t="str">
        <f>B121</f>
        <v>Accounts Receivable</v>
      </c>
      <c r="I221" t="s">
        <v>26</v>
      </c>
      <c r="K221" s="33">
        <f>M221/M$217</f>
        <v>0.31266175071360613</v>
      </c>
      <c r="M221" s="136">
        <f>I121</f>
        <v>131.443</v>
      </c>
      <c r="O221" s="136">
        <f>O121</f>
        <v>131.443</v>
      </c>
      <c r="Q221" s="136">
        <f>$K221*Q$217</f>
        <v>143.23034800190297</v>
      </c>
      <c r="S221" s="136">
        <f>$K221*S$217</f>
        <v>146.32569933396766</v>
      </c>
      <c r="U221" s="136">
        <f>$K221*U$217</f>
        <v>147.10735371075168</v>
      </c>
      <c r="W221" s="136">
        <f>$K221*W$217</f>
        <v>148.57842724785917</v>
      </c>
      <c r="Y221" s="136">
        <f>$K221*Y$217</f>
        <v>150.06421152033778</v>
      </c>
      <c r="AA221" s="136">
        <f>$K221*AA$217</f>
        <v>151.56485363554114</v>
      </c>
      <c r="AC221" s="136">
        <f>$K221*AC$217</f>
        <v>153.08050217189657</v>
      </c>
      <c r="AE221" s="136">
        <f>$K221*AE$217</f>
        <v>154.61130719361554</v>
      </c>
      <c r="AG221" s="136">
        <f>$K221*AG$217</f>
        <v>156.1574202655517</v>
      </c>
      <c r="AI221" s="136">
        <f>$K221*AI$217</f>
        <v>157.71899446820723</v>
      </c>
    </row>
    <row r="222" spans="2:35" ht="12.75">
      <c r="B222" t="str">
        <f>B122</f>
        <v>Inventories</v>
      </c>
      <c r="I222" t="s">
        <v>310</v>
      </c>
      <c r="K222" s="33">
        <f>M222/M$218</f>
        <v>0</v>
      </c>
      <c r="M222" s="146">
        <f>I122</f>
        <v>0</v>
      </c>
      <c r="O222" s="146">
        <f>O122</f>
        <v>0</v>
      </c>
      <c r="Q222" s="146">
        <f>$K222*Q$218</f>
        <v>0</v>
      </c>
      <c r="S222" s="146">
        <f>$K222*S$218</f>
        <v>0</v>
      </c>
      <c r="U222" s="146">
        <f>$K222*U$218</f>
        <v>0</v>
      </c>
      <c r="W222" s="146">
        <f>$K222*W$218</f>
        <v>0</v>
      </c>
      <c r="Y222" s="146">
        <f>$K222*Y$218</f>
        <v>0</v>
      </c>
      <c r="AA222" s="146">
        <f>$K222*AA$218</f>
        <v>0</v>
      </c>
      <c r="AC222" s="146">
        <f>$K222*AC$218</f>
        <v>0</v>
      </c>
      <c r="AE222" s="146">
        <f>$K222*AE$218</f>
        <v>0</v>
      </c>
      <c r="AG222" s="146">
        <f>$K222*AG$218</f>
        <v>0</v>
      </c>
      <c r="AI222" s="146">
        <f>$K222*AI$218</f>
        <v>0</v>
      </c>
    </row>
    <row r="223" spans="2:35" ht="12.75">
      <c r="B223" t="str">
        <f>B123</f>
        <v>Deferred Income Taxes</v>
      </c>
      <c r="I223" t="s">
        <v>26</v>
      </c>
      <c r="K223" s="33">
        <f>M223/M$217</f>
        <v>0.02099904852521408</v>
      </c>
      <c r="M223" s="146">
        <f>I123</f>
        <v>8.828</v>
      </c>
      <c r="O223" s="146">
        <f>O123</f>
        <v>8.828</v>
      </c>
      <c r="Q223" s="146">
        <f>$K223*Q$217</f>
        <v>9.619664129400569</v>
      </c>
      <c r="S223" s="146">
        <f>$K223*S$217</f>
        <v>9.827554709800188</v>
      </c>
      <c r="U223" s="146">
        <f>$K223*U$217</f>
        <v>9.880052331113223</v>
      </c>
      <c r="W223" s="146">
        <f>$K223*W$217</f>
        <v>9.978852854424355</v>
      </c>
      <c r="Y223" s="146">
        <f>$K223*Y$217</f>
        <v>10.078641382968598</v>
      </c>
      <c r="AA223" s="146">
        <f>$K223*AA$217</f>
        <v>10.179427796798285</v>
      </c>
      <c r="AC223" s="146">
        <f>$K223*AC$217</f>
        <v>10.28122207476627</v>
      </c>
      <c r="AE223" s="146">
        <f>$K223*AE$217</f>
        <v>10.384034295513931</v>
      </c>
      <c r="AG223" s="146">
        <f>$K223*AG$217</f>
        <v>10.487874638469071</v>
      </c>
      <c r="AI223" s="146">
        <f>$K223*AI$217</f>
        <v>10.592753384853761</v>
      </c>
    </row>
    <row r="224" spans="2:35" ht="12.75">
      <c r="B224" t="str">
        <f>B124</f>
        <v>Prepaid Expenses &amp; Other</v>
      </c>
      <c r="I224" t="s">
        <v>310</v>
      </c>
      <c r="K224" s="33">
        <f>M224/M$218</f>
        <v>0.03749658002735978</v>
      </c>
      <c r="M224" s="146">
        <f>I124</f>
        <v>8.223</v>
      </c>
      <c r="O224" s="146">
        <f>O124</f>
        <v>8.223</v>
      </c>
      <c r="Q224" s="146">
        <f>$K224*Q$218</f>
        <v>8.984180574555404</v>
      </c>
      <c r="S224" s="146">
        <f>$K224*S$218</f>
        <v>8.991679890560874</v>
      </c>
      <c r="U224" s="146">
        <f>$K224*U$218</f>
        <v>9.081671682626537</v>
      </c>
      <c r="W224" s="146">
        <f>$K224*W$218</f>
        <v>9.176238057455539</v>
      </c>
      <c r="Y224" s="146">
        <f>$K224*Y$218</f>
        <v>9.27175009603283</v>
      </c>
      <c r="AA224" s="146">
        <f>$K224*AA$218</f>
        <v>9.368217254995894</v>
      </c>
      <c r="AC224" s="146">
        <f>$K224*AC$218</f>
        <v>9.46564908554859</v>
      </c>
      <c r="AE224" s="146">
        <f>$K224*AE$218</f>
        <v>9.564055234406812</v>
      </c>
      <c r="AG224" s="146">
        <f>$K224*AG$218</f>
        <v>9.663445444753615</v>
      </c>
      <c r="AI224" s="146">
        <f>$K224*AI$218</f>
        <v>9.76382955720389</v>
      </c>
    </row>
    <row r="225" ht="4.5" customHeight="1"/>
    <row r="226" ht="12.75">
      <c r="A226" s="10" t="s">
        <v>305</v>
      </c>
    </row>
    <row r="227" spans="2:35" ht="12.75">
      <c r="B227" t="str">
        <f>B141</f>
        <v>Accounts Payable</v>
      </c>
      <c r="I227" t="s">
        <v>310</v>
      </c>
      <c r="K227" s="33">
        <f>M227/M$218</f>
        <v>0.09421796625626994</v>
      </c>
      <c r="M227" s="136">
        <f>I141</f>
        <v>20.662</v>
      </c>
      <c r="O227" s="136">
        <f>O141</f>
        <v>20.662</v>
      </c>
      <c r="Q227" s="136">
        <f>$K227*Q$218</f>
        <v>22.574624715002276</v>
      </c>
      <c r="S227" s="136">
        <f>$K227*S$218</f>
        <v>22.593468308253527</v>
      </c>
      <c r="U227" s="136">
        <f>$K227*U$218</f>
        <v>22.819591427268573</v>
      </c>
      <c r="W227" s="136">
        <f>$K227*W$218</f>
        <v>23.057209138166886</v>
      </c>
      <c r="Y227" s="136">
        <f>$K227*Y$218</f>
        <v>23.297203026174184</v>
      </c>
      <c r="AA227" s="136">
        <f>$K227*AA$218</f>
        <v>23.53959685306155</v>
      </c>
      <c r="AC227" s="136">
        <f>$K227*AC$218</f>
        <v>23.784414618217795</v>
      </c>
      <c r="AE227" s="136">
        <f>$K227*AE$218</f>
        <v>24.0316805610256</v>
      </c>
      <c r="AG227" s="136">
        <f>$K227*AG$218</f>
        <v>24.281419163261482</v>
      </c>
      <c r="AI227" s="136">
        <f>$K227*AI$218</f>
        <v>24.533655151519728</v>
      </c>
    </row>
    <row r="228" spans="2:35" ht="12.75">
      <c r="B228" t="str">
        <f>B142</f>
        <v>Accrued Liabilities</v>
      </c>
      <c r="I228" t="s">
        <v>310</v>
      </c>
      <c r="K228" s="33">
        <f>M228/M$218</f>
        <v>0.07013223894208846</v>
      </c>
      <c r="M228" s="146">
        <f>I142</f>
        <v>15.38</v>
      </c>
      <c r="O228" s="146">
        <f>O142</f>
        <v>15.38</v>
      </c>
      <c r="Q228" s="146">
        <f>$K228*Q$218</f>
        <v>16.803684450524393</v>
      </c>
      <c r="S228" s="146">
        <f>$K228*S$218</f>
        <v>16.81771089831281</v>
      </c>
      <c r="U228" s="146">
        <f>$K228*U$218</f>
        <v>16.986028271773822</v>
      </c>
      <c r="W228" s="146">
        <f>$K228*W$218</f>
        <v>17.16290177838577</v>
      </c>
      <c r="Y228" s="146">
        <f>$K228*Y$218</f>
        <v>17.341544020063836</v>
      </c>
      <c r="AA228" s="146">
        <f>$K228*AA$218</f>
        <v>17.521972684158683</v>
      </c>
      <c r="AC228" s="146">
        <f>$K228*AC$218</f>
        <v>17.70420563489448</v>
      </c>
      <c r="AE228" s="146">
        <f>$K228*AE$218</f>
        <v>17.888260915137632</v>
      </c>
      <c r="AG228" s="146">
        <f>$K228*AG$218</f>
        <v>18.074156748183217</v>
      </c>
      <c r="AI228" s="146">
        <f>$K228*AI$218</f>
        <v>18.26191153955926</v>
      </c>
    </row>
    <row r="229" spans="2:35" ht="12.75">
      <c r="B229" t="str">
        <f>B143</f>
        <v>Client Deposits</v>
      </c>
      <c r="I229" t="s">
        <v>26</v>
      </c>
      <c r="K229" s="33">
        <f>M229/M$217</f>
        <v>0</v>
      </c>
      <c r="M229" s="146">
        <f>I143</f>
        <v>0</v>
      </c>
      <c r="O229" s="146">
        <f>O143</f>
        <v>0</v>
      </c>
      <c r="Q229" s="146">
        <f>$K229*Q$217</f>
        <v>0</v>
      </c>
      <c r="S229" s="146">
        <f>$K229*S$217</f>
        <v>0</v>
      </c>
      <c r="U229" s="146">
        <f>$K229*U$217</f>
        <v>0</v>
      </c>
      <c r="W229" s="146">
        <f>$K229*W$217</f>
        <v>0</v>
      </c>
      <c r="Y229" s="146">
        <f>$K229*Y$217</f>
        <v>0</v>
      </c>
      <c r="AA229" s="146">
        <f>$K229*AA$217</f>
        <v>0</v>
      </c>
      <c r="AC229" s="146">
        <f>$K229*AC$217</f>
        <v>0</v>
      </c>
      <c r="AE229" s="146">
        <f>$K229*AE$217</f>
        <v>0</v>
      </c>
      <c r="AG229" s="146">
        <f>$K229*AG$217</f>
        <v>0</v>
      </c>
      <c r="AI229" s="146">
        <f>$K229*AI$217</f>
        <v>0</v>
      </c>
    </row>
    <row r="230" spans="2:35" ht="12.75">
      <c r="B230" t="str">
        <f>B144</f>
        <v>Other Current Liabilities</v>
      </c>
      <c r="I230" t="s">
        <v>310</v>
      </c>
      <c r="K230" s="33">
        <f>M230/M$218</f>
        <v>0.26964432284541723</v>
      </c>
      <c r="M230" s="146">
        <f>I144</f>
        <v>59.132999999999996</v>
      </c>
      <c r="O230" s="146">
        <f>O144</f>
        <v>59.132999999999996</v>
      </c>
      <c r="Q230" s="146">
        <f>$K230*Q$218</f>
        <v>64.60677975376197</v>
      </c>
      <c r="S230" s="146">
        <f>$K230*S$218</f>
        <v>64.66070861833104</v>
      </c>
      <c r="U230" s="146">
        <f>$K230*U$218</f>
        <v>65.30785499316003</v>
      </c>
      <c r="W230" s="146">
        <f>$K230*W$218</f>
        <v>65.98789797537619</v>
      </c>
      <c r="Y230" s="146">
        <f>$K230*Y$218</f>
        <v>66.67474138741449</v>
      </c>
      <c r="AA230" s="146">
        <f>$K230*AA$218</f>
        <v>67.36845323357316</v>
      </c>
      <c r="AC230" s="146">
        <f>$K230*AC$218</f>
        <v>68.06910219819345</v>
      </c>
      <c r="AE230" s="146">
        <f>$K230*AE$218</f>
        <v>68.77675765245992</v>
      </c>
      <c r="AG230" s="146">
        <f>$K230*AG$218</f>
        <v>69.49148966126906</v>
      </c>
      <c r="AI230" s="146">
        <f>$K230*AI$218</f>
        <v>70.2133689901663</v>
      </c>
    </row>
    <row r="232" spans="1:35" ht="12.75">
      <c r="A232" t="s">
        <v>306</v>
      </c>
      <c r="M232" s="76">
        <f>SUM(M221:M224)-SUM(M227:M230)</f>
        <v>53.31900000000003</v>
      </c>
      <c r="O232" s="76">
        <f>SUM(O221:O224)-SUM(O227:O230)</f>
        <v>53.31900000000003</v>
      </c>
      <c r="Q232" s="76">
        <f>SUM(Q221:Q224)-SUM(Q227:Q230)</f>
        <v>57.84910378657031</v>
      </c>
      <c r="S232" s="76">
        <f>SUM(S221:S224)-SUM(S227:S230)</f>
        <v>61.073046109431345</v>
      </c>
      <c r="U232" s="76">
        <f>SUM(U221:U224)-SUM(U227:U230)</f>
        <v>60.95560303228902</v>
      </c>
      <c r="W232" s="76">
        <f>SUM(W221:W224)-SUM(W227:W230)</f>
        <v>61.525509267810236</v>
      </c>
      <c r="Y232" s="76">
        <f>SUM(Y221:Y224)-SUM(Y227:Y230)</f>
        <v>62.101114565686714</v>
      </c>
      <c r="AA232" s="76">
        <f>SUM(AA221:AA224)-SUM(AA227:AA230)</f>
        <v>62.68247591654192</v>
      </c>
      <c r="AC232" s="76">
        <f>SUM(AC221:AC224)-SUM(AC227:AC230)</f>
        <v>63.269650880905715</v>
      </c>
      <c r="AE232" s="76">
        <f>SUM(AE221:AE224)-SUM(AE227:AE230)</f>
        <v>63.86269759491316</v>
      </c>
      <c r="AG232" s="76">
        <f>SUM(AG221:AG224)-SUM(AG227:AG230)</f>
        <v>64.46167477606063</v>
      </c>
      <c r="AI232" s="76">
        <f>SUM(AI221:AI224)-SUM(AI227:AI230)</f>
        <v>65.06664172901957</v>
      </c>
    </row>
    <row r="233" spans="1:35" ht="12.75">
      <c r="A233" t="s">
        <v>307</v>
      </c>
      <c r="O233" s="37">
        <f>O232-M232</f>
        <v>0</v>
      </c>
      <c r="Q233" s="37">
        <f>Q232-O232</f>
        <v>4.53010378657028</v>
      </c>
      <c r="S233" s="37">
        <f>S232-Q232</f>
        <v>3.223942322861035</v>
      </c>
      <c r="U233" s="37">
        <f>U232-S232</f>
        <v>-0.11744307714232605</v>
      </c>
      <c r="W233" s="37">
        <f>W232-U232</f>
        <v>0.5699062355212163</v>
      </c>
      <c r="Y233" s="37">
        <f>Y232-W232</f>
        <v>0.5756052978764785</v>
      </c>
      <c r="AA233" s="37">
        <f>AA232-Y232</f>
        <v>0.5813613508552038</v>
      </c>
      <c r="AC233" s="37">
        <f>AC232-AA232</f>
        <v>0.5871749643637969</v>
      </c>
      <c r="AE233" s="37">
        <f>AE232-AC232</f>
        <v>0.5930467140074427</v>
      </c>
      <c r="AG233" s="37">
        <f>AG232-AE232</f>
        <v>0.5989771811474753</v>
      </c>
      <c r="AI233" s="37">
        <f>AI232-AG232</f>
        <v>0.6049669529589323</v>
      </c>
    </row>
    <row r="235" spans="1:35" ht="12.75">
      <c r="A235" s="4" t="s">
        <v>311</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ht="12.75">
      <c r="A236" s="3" t="str">
        <f>$A$2</f>
        <v>($ in millions, except per share data)</v>
      </c>
    </row>
    <row r="237" spans="15:35" ht="13.5" thickBot="1">
      <c r="O237" s="22" t="str">
        <f>O$46</f>
        <v>2 Mos.</v>
      </c>
      <c r="Q237" s="20" t="str">
        <f>Q$317</f>
        <v>Projected Fiscal Years Ending September 30,</v>
      </c>
      <c r="R237" s="20"/>
      <c r="S237" s="20"/>
      <c r="T237" s="20"/>
      <c r="U237" s="20"/>
      <c r="V237" s="20"/>
      <c r="W237" s="20"/>
      <c r="X237" s="20"/>
      <c r="Y237" s="20"/>
      <c r="Z237" s="20"/>
      <c r="AA237" s="20"/>
      <c r="AB237" s="20"/>
      <c r="AC237" s="20"/>
      <c r="AD237" s="20"/>
      <c r="AE237" s="20"/>
      <c r="AF237" s="20"/>
      <c r="AG237" s="20"/>
      <c r="AH237" s="20"/>
      <c r="AI237" s="20"/>
    </row>
    <row r="238" spans="15:35" ht="12.75">
      <c r="O238" s="22" t="str">
        <f>O$47</f>
        <v>Ending</v>
      </c>
      <c r="Q238" s="81">
        <f>Q$318</f>
        <v>1</v>
      </c>
      <c r="S238" s="81">
        <f>S$318</f>
        <v>2</v>
      </c>
      <c r="U238" s="81">
        <f>U$318</f>
        <v>3</v>
      </c>
      <c r="W238" s="81">
        <f>W$318</f>
        <v>4</v>
      </c>
      <c r="Y238" s="81">
        <f>Y$318</f>
        <v>5</v>
      </c>
      <c r="AA238" s="81">
        <f>AA$318</f>
        <v>6</v>
      </c>
      <c r="AC238" s="81">
        <f>AC$318</f>
        <v>7</v>
      </c>
      <c r="AE238" s="81">
        <f>AE$318</f>
        <v>8</v>
      </c>
      <c r="AG238" s="81">
        <f>AG$318</f>
        <v>9</v>
      </c>
      <c r="AI238" s="81">
        <f>AI$318</f>
        <v>10</v>
      </c>
    </row>
    <row r="239" spans="1:35" ht="13.5" thickBot="1">
      <c r="A239" s="100" t="s">
        <v>312</v>
      </c>
      <c r="B239" s="100"/>
      <c r="C239" s="100"/>
      <c r="D239" s="100"/>
      <c r="E239" s="100"/>
      <c r="F239" s="100"/>
      <c r="G239" s="100"/>
      <c r="H239" s="100"/>
      <c r="I239" s="100"/>
      <c r="J239" s="100"/>
      <c r="K239" s="100"/>
      <c r="O239" s="97" t="str">
        <f>O$48</f>
        <v>9/30/2008</v>
      </c>
      <c r="Q239" s="82">
        <f>Q$319</f>
        <v>2008</v>
      </c>
      <c r="S239" s="82">
        <f>S$319</f>
        <v>2009</v>
      </c>
      <c r="U239" s="82">
        <f>U$319</f>
        <v>2010</v>
      </c>
      <c r="W239" s="82">
        <f>W$319</f>
        <v>2011</v>
      </c>
      <c r="Y239" s="82">
        <f>Y$319</f>
        <v>2012</v>
      </c>
      <c r="AA239" s="82">
        <f>AA$319</f>
        <v>2013</v>
      </c>
      <c r="AC239" s="82">
        <f>AC$319</f>
        <v>2014</v>
      </c>
      <c r="AE239" s="82">
        <f>AE$319</f>
        <v>2015</v>
      </c>
      <c r="AG239" s="82">
        <f>AG$319</f>
        <v>2016</v>
      </c>
      <c r="AI239" s="82">
        <f>AI$319</f>
        <v>2017</v>
      </c>
    </row>
    <row r="240" spans="7:11" ht="12.75">
      <c r="G240" s="22" t="s">
        <v>249</v>
      </c>
      <c r="I240" s="22" t="s">
        <v>313</v>
      </c>
      <c r="K240" s="22" t="s">
        <v>314</v>
      </c>
    </row>
    <row r="241" spans="1:35" ht="13.5" thickBot="1">
      <c r="A241" s="100" t="s">
        <v>315</v>
      </c>
      <c r="B241" s="100"/>
      <c r="C241" s="100"/>
      <c r="D241" s="100"/>
      <c r="E241" s="100"/>
      <c r="G241" s="82" t="s">
        <v>316</v>
      </c>
      <c r="I241" s="82" t="s">
        <v>317</v>
      </c>
      <c r="K241" s="82" t="s">
        <v>318</v>
      </c>
      <c r="O241" s="100" t="s">
        <v>323</v>
      </c>
      <c r="P241" s="100"/>
      <c r="Q241" s="100"/>
      <c r="R241" s="100"/>
      <c r="S241" s="100"/>
      <c r="T241" s="100"/>
      <c r="U241" s="100"/>
      <c r="V241" s="100"/>
      <c r="W241" s="100"/>
      <c r="X241" s="100"/>
      <c r="Y241" s="100"/>
      <c r="Z241" s="100"/>
      <c r="AA241" s="100"/>
      <c r="AB241" s="100"/>
      <c r="AC241" s="100"/>
      <c r="AD241" s="100"/>
      <c r="AE241" s="100"/>
      <c r="AF241" s="100"/>
      <c r="AG241" s="100"/>
      <c r="AH241" s="100"/>
      <c r="AI241" s="100"/>
    </row>
    <row r="242" spans="1:35" ht="12.75">
      <c r="A242" s="198" t="s">
        <v>319</v>
      </c>
      <c r="G242" s="76">
        <f>I127</f>
        <v>175.41400000000002</v>
      </c>
      <c r="I242" s="199">
        <v>14</v>
      </c>
      <c r="K242" s="77">
        <v>0</v>
      </c>
      <c r="O242" s="76">
        <f>stub*Q242</f>
        <v>2.0882619047619047</v>
      </c>
      <c r="Q242" s="76">
        <f>IF(Q$238&lt;=$I242,SLN($G242,$K242,$I242),0)</f>
        <v>12.52957142857143</v>
      </c>
      <c r="S242" s="76">
        <f>IF(S$238&lt;=$I242,SLN($G242,$K242,$I242),0)</f>
        <v>12.52957142857143</v>
      </c>
      <c r="U242" s="76">
        <f>IF(U$238&lt;=$I242,SLN($G242,$K242,$I242),0)</f>
        <v>12.52957142857143</v>
      </c>
      <c r="W242" s="76">
        <f>IF(W$238&lt;=$I242,SLN($G242,$K242,$I242),0)</f>
        <v>12.52957142857143</v>
      </c>
      <c r="Y242" s="76">
        <f>IF(Y$238&lt;=$I242,SLN($G242,$K242,$I242),0)</f>
        <v>12.52957142857143</v>
      </c>
      <c r="AA242" s="76">
        <f>IF(AA$238&lt;=$I242,SLN($G242,$K242,$I242),0)</f>
        <v>12.52957142857143</v>
      </c>
      <c r="AC242" s="76">
        <f>IF(AC$238&lt;=$I242,SLN($G242,$K242,$I242),0)</f>
        <v>12.52957142857143</v>
      </c>
      <c r="AE242" s="76">
        <f>IF(AE$238&lt;=$I242,SLN($G242,$K242,$I242),0)</f>
        <v>12.52957142857143</v>
      </c>
      <c r="AG242" s="76">
        <f>IF(AG$238&lt;=$I242,SLN($G242,$K242,$I242),0)</f>
        <v>12.52957142857143</v>
      </c>
      <c r="AI242" s="76">
        <f>IF(AI$238&lt;=$I242,SLN($G242,$K242,$I242),0)</f>
        <v>12.52957142857143</v>
      </c>
    </row>
    <row r="243" spans="1:35" ht="12.75">
      <c r="A243" s="198" t="s">
        <v>320</v>
      </c>
      <c r="G243" s="43">
        <v>0</v>
      </c>
      <c r="I243" s="43">
        <v>0</v>
      </c>
      <c r="K243" s="43">
        <v>0</v>
      </c>
      <c r="O243" s="146">
        <f>stub*Q243</f>
        <v>0</v>
      </c>
      <c r="Q243" s="146">
        <f>IF(Q$238&lt;=$I243,SLN($G243,$K243,$I243),0)</f>
        <v>0</v>
      </c>
      <c r="S243" s="146">
        <f>IF(S$238&lt;=$I243,SLN($G243,$K243,$I243),0)</f>
        <v>0</v>
      </c>
      <c r="U243" s="146">
        <f>IF(U$238&lt;=$I243,SLN($G243,$K243,$I243),0)</f>
        <v>0</v>
      </c>
      <c r="W243" s="146">
        <f>IF(W$238&lt;=$I243,SLN($G243,$K243,$I243),0)</f>
        <v>0</v>
      </c>
      <c r="Y243" s="146">
        <f>IF(Y$238&lt;=$I243,SLN($G243,$K243,$I243),0)</f>
        <v>0</v>
      </c>
      <c r="AA243" s="146">
        <f>IF(AA$238&lt;=$I243,SLN($G243,$K243,$I243),0)</f>
        <v>0</v>
      </c>
      <c r="AC243" s="146">
        <f>IF(AC$238&lt;=$I243,SLN($G243,$K243,$I243),0)</f>
        <v>0</v>
      </c>
      <c r="AE243" s="146">
        <f>IF(AE$238&lt;=$I243,SLN($G243,$K243,$I243),0)</f>
        <v>0</v>
      </c>
      <c r="AG243" s="146">
        <f>IF(AG$238&lt;=$I243,SLN($G243,$K243,$I243),0)</f>
        <v>0</v>
      </c>
      <c r="AI243" s="146">
        <f>IF(AI$238&lt;=$I243,SLN($G243,$K243,$I243),0)</f>
        <v>0</v>
      </c>
    </row>
    <row r="244" spans="1:35" ht="12.75">
      <c r="A244" s="198" t="s">
        <v>321</v>
      </c>
      <c r="G244" s="43">
        <v>0</v>
      </c>
      <c r="I244" s="43">
        <v>0</v>
      </c>
      <c r="K244" s="43">
        <v>0</v>
      </c>
      <c r="O244" s="146">
        <f>stub*Q244</f>
        <v>0</v>
      </c>
      <c r="Q244" s="146">
        <f aca="true" t="shared" si="24" ref="Q244:AI245">IF(Q$238&lt;=$I244,SLN($G244,$K244,$I244),0)</f>
        <v>0</v>
      </c>
      <c r="S244" s="146">
        <f t="shared" si="24"/>
        <v>0</v>
      </c>
      <c r="U244" s="146">
        <f t="shared" si="24"/>
        <v>0</v>
      </c>
      <c r="W244" s="146">
        <f t="shared" si="24"/>
        <v>0</v>
      </c>
      <c r="Y244" s="146">
        <f t="shared" si="24"/>
        <v>0</v>
      </c>
      <c r="AA244" s="146">
        <f t="shared" si="24"/>
        <v>0</v>
      </c>
      <c r="AC244" s="146">
        <f t="shared" si="24"/>
        <v>0</v>
      </c>
      <c r="AE244" s="146">
        <f t="shared" si="24"/>
        <v>0</v>
      </c>
      <c r="AG244" s="146">
        <f t="shared" si="24"/>
        <v>0</v>
      </c>
      <c r="AI244" s="146">
        <f t="shared" si="24"/>
        <v>0</v>
      </c>
    </row>
    <row r="245" spans="1:35" ht="13.5" thickBot="1">
      <c r="A245" s="198" t="s">
        <v>322</v>
      </c>
      <c r="G245" s="43">
        <v>0</v>
      </c>
      <c r="I245" s="43">
        <v>0</v>
      </c>
      <c r="K245" s="43">
        <v>0</v>
      </c>
      <c r="O245" s="146">
        <f>stub*Q245</f>
        <v>0</v>
      </c>
      <c r="Q245" s="146">
        <f t="shared" si="24"/>
        <v>0</v>
      </c>
      <c r="S245" s="146">
        <f t="shared" si="24"/>
        <v>0</v>
      </c>
      <c r="U245" s="146">
        <f t="shared" si="24"/>
        <v>0</v>
      </c>
      <c r="W245" s="146">
        <f t="shared" si="24"/>
        <v>0</v>
      </c>
      <c r="Y245" s="146">
        <f t="shared" si="24"/>
        <v>0</v>
      </c>
      <c r="AA245" s="146">
        <f t="shared" si="24"/>
        <v>0</v>
      </c>
      <c r="AC245" s="146">
        <f t="shared" si="24"/>
        <v>0</v>
      </c>
      <c r="AE245" s="146">
        <f t="shared" si="24"/>
        <v>0</v>
      </c>
      <c r="AG245" s="146">
        <f t="shared" si="24"/>
        <v>0</v>
      </c>
      <c r="AI245" s="146">
        <f t="shared" si="24"/>
        <v>0</v>
      </c>
    </row>
    <row r="246" spans="13:35" ht="12.75">
      <c r="M246" t="s">
        <v>324</v>
      </c>
      <c r="O246" s="108">
        <f>SUM(O242:O245)</f>
        <v>2.0882619047619047</v>
      </c>
      <c r="Q246" s="108">
        <f>SUM(Q242:Q245)</f>
        <v>12.52957142857143</v>
      </c>
      <c r="S246" s="108">
        <f>SUM(S242:S245)</f>
        <v>12.52957142857143</v>
      </c>
      <c r="U246" s="108">
        <f>SUM(U242:U245)</f>
        <v>12.52957142857143</v>
      </c>
      <c r="W246" s="108">
        <f>SUM(W242:W245)</f>
        <v>12.52957142857143</v>
      </c>
      <c r="Y246" s="108">
        <f>SUM(Y242:Y245)</f>
        <v>12.52957142857143</v>
      </c>
      <c r="AA246" s="108">
        <f>SUM(AA242:AA245)</f>
        <v>12.52957142857143</v>
      </c>
      <c r="AC246" s="108">
        <f>SUM(AC242:AC245)</f>
        <v>12.52957142857143</v>
      </c>
      <c r="AE246" s="108">
        <f>SUM(AE242:AE245)</f>
        <v>12.52957142857143</v>
      </c>
      <c r="AG246" s="108">
        <f>SUM(AG242:AG245)</f>
        <v>12.52957142857143</v>
      </c>
      <c r="AI246" s="108">
        <f>SUM(AI242:AI245)</f>
        <v>12.52957142857143</v>
      </c>
    </row>
    <row r="247" spans="5:11" ht="13.5" thickBot="1">
      <c r="E247" s="100" t="s">
        <v>325</v>
      </c>
      <c r="F247" s="100"/>
      <c r="G247" s="100"/>
      <c r="H247" s="100"/>
      <c r="I247" s="100"/>
      <c r="J247" s="100"/>
      <c r="K247" s="100"/>
    </row>
    <row r="248" spans="9:11" ht="12.75">
      <c r="I248" s="22" t="s">
        <v>326</v>
      </c>
      <c r="K248" s="22" t="s">
        <v>314</v>
      </c>
    </row>
    <row r="249" spans="5:35" ht="13.5" thickBot="1">
      <c r="E249" s="82" t="s">
        <v>327</v>
      </c>
      <c r="G249" s="82" t="s">
        <v>328</v>
      </c>
      <c r="I249" s="82" t="s">
        <v>317</v>
      </c>
      <c r="K249" s="82" t="s">
        <v>318</v>
      </c>
      <c r="O249" s="100" t="s">
        <v>329</v>
      </c>
      <c r="P249" s="100"/>
      <c r="Q249" s="100"/>
      <c r="R249" s="100"/>
      <c r="S249" s="100"/>
      <c r="T249" s="100"/>
      <c r="U249" s="100"/>
      <c r="V249" s="100"/>
      <c r="W249" s="100"/>
      <c r="X249" s="100"/>
      <c r="Y249" s="100"/>
      <c r="Z249" s="100"/>
      <c r="AA249" s="100"/>
      <c r="AB249" s="100"/>
      <c r="AC249" s="100"/>
      <c r="AD249" s="100"/>
      <c r="AE249" s="100"/>
      <c r="AF249" s="100"/>
      <c r="AG249" s="100"/>
      <c r="AH249" s="100"/>
      <c r="AI249" s="100"/>
    </row>
    <row r="250" spans="5:35" ht="12.75">
      <c r="E250" s="200">
        <f>Q239</f>
        <v>2008</v>
      </c>
      <c r="G250" s="201">
        <f>'Target P&amp;L'!M65</f>
        <v>16</v>
      </c>
      <c r="I250" s="199">
        <v>20</v>
      </c>
      <c r="K250" s="77">
        <v>0</v>
      </c>
      <c r="O250" s="76">
        <f>stub*Q250</f>
        <v>0.13333333333333333</v>
      </c>
      <c r="Q250" s="76">
        <f>IF(Q$239-$Q$239&lt;$I250,SLN($G250,$K250,$I250),0)</f>
        <v>0.8</v>
      </c>
      <c r="S250" s="76">
        <f>IF(S$239-$Q$239&lt;$I250,SLN($G250,$K250,$I250),0)</f>
        <v>0.8</v>
      </c>
      <c r="U250" s="76">
        <f>IF(U$239-$Q$239&lt;$I250,SLN($G250,$K250,$I250),0)</f>
        <v>0.8</v>
      </c>
      <c r="W250" s="76">
        <f>IF(W$239-$Q$239&lt;$I250,SLN($G250,$K250,$I250),0)</f>
        <v>0.8</v>
      </c>
      <c r="Y250" s="76">
        <f>IF(Y$239-$Q$239&lt;$I250,SLN($G250,$K250,$I250),0)</f>
        <v>0.8</v>
      </c>
      <c r="AA250" s="76">
        <f aca="true" t="shared" si="25" ref="AA250:AA255">IF(AA$239-$Q$239&lt;$I250,SLN($G250,$K250,$I250),0)</f>
        <v>0.8</v>
      </c>
      <c r="AC250" s="76">
        <f aca="true" t="shared" si="26" ref="AC250:AC256">IF(AC$239-$Q$239&lt;$I250,SLN($G250,$K250,$I250),0)</f>
        <v>0.8</v>
      </c>
      <c r="AE250" s="76">
        <f aca="true" t="shared" si="27" ref="AE250:AE257">IF(AE$239-$Q$239&lt;$I250,SLN($G250,$K250,$I250),0)</f>
        <v>0.8</v>
      </c>
      <c r="AG250" s="76">
        <f aca="true" t="shared" si="28" ref="AG250:AG258">IF(AG$239-$Q$239&lt;$I250,SLN($G250,$K250,$I250),0)</f>
        <v>0.8</v>
      </c>
      <c r="AI250" s="76">
        <f aca="true" t="shared" si="29" ref="AI250:AI259">IF(AI$239-$Q$239&lt;$I250,SLN($G250,$K250,$I250),0)</f>
        <v>0.8</v>
      </c>
    </row>
    <row r="251" spans="5:35" ht="12.75">
      <c r="E251" s="200">
        <f>S239</f>
        <v>2009</v>
      </c>
      <c r="G251" s="202">
        <f>'Target P&amp;L'!O65</f>
        <v>14.1</v>
      </c>
      <c r="I251" s="199">
        <v>20</v>
      </c>
      <c r="K251" s="43">
        <v>0</v>
      </c>
      <c r="O251" s="203"/>
      <c r="Q251" s="203"/>
      <c r="S251" s="146">
        <f>IF(S$239-$Q$239&lt;$I251,SLN($G251,$K251,$I251),0)</f>
        <v>0.705</v>
      </c>
      <c r="U251" s="146">
        <f>IF(U$239-$Q$239&lt;$I251,SLN($G251,$K251,$I251),0)</f>
        <v>0.705</v>
      </c>
      <c r="W251" s="146">
        <f>IF(W$239-$Q$239&lt;$I251,SLN($G251,$K251,$I251),0)</f>
        <v>0.705</v>
      </c>
      <c r="Y251" s="146">
        <f>IF(Y$239-$Q$239&lt;$I251,SLN($G251,$K251,$I251),0)</f>
        <v>0.705</v>
      </c>
      <c r="AA251" s="146">
        <f t="shared" si="25"/>
        <v>0.705</v>
      </c>
      <c r="AC251" s="146">
        <f t="shared" si="26"/>
        <v>0.705</v>
      </c>
      <c r="AE251" s="146">
        <f t="shared" si="27"/>
        <v>0.705</v>
      </c>
      <c r="AG251" s="146">
        <f t="shared" si="28"/>
        <v>0.705</v>
      </c>
      <c r="AI251" s="146">
        <f t="shared" si="29"/>
        <v>0.705</v>
      </c>
    </row>
    <row r="252" spans="5:35" ht="12.75">
      <c r="E252" s="200">
        <f>U239</f>
        <v>2010</v>
      </c>
      <c r="G252" s="202">
        <f>'Target P&amp;L'!Q65</f>
        <v>14.175320512820512</v>
      </c>
      <c r="I252" s="199">
        <v>20</v>
      </c>
      <c r="K252" s="43">
        <v>0</v>
      </c>
      <c r="O252" s="203"/>
      <c r="Q252" s="203"/>
      <c r="S252" s="203"/>
      <c r="U252" s="146">
        <f>IF(U$239-$Q$239&lt;$I252,SLN($G252,$K252,$I252),0)</f>
        <v>0.7087660256410256</v>
      </c>
      <c r="W252" s="146">
        <f>IF(W$239-$Q$239&lt;$I252,SLN($G252,$K252,$I252),0)</f>
        <v>0.7087660256410256</v>
      </c>
      <c r="Y252" s="146">
        <f>IF(Y$239-$Q$239&lt;$I252,SLN($G252,$K252,$I252),0)</f>
        <v>0.7087660256410256</v>
      </c>
      <c r="AA252" s="146">
        <f t="shared" si="25"/>
        <v>0.7087660256410256</v>
      </c>
      <c r="AC252" s="146">
        <f t="shared" si="26"/>
        <v>0.7087660256410256</v>
      </c>
      <c r="AE252" s="146">
        <f t="shared" si="27"/>
        <v>0.7087660256410256</v>
      </c>
      <c r="AG252" s="146">
        <f t="shared" si="28"/>
        <v>0.7087660256410256</v>
      </c>
      <c r="AI252" s="146">
        <f t="shared" si="29"/>
        <v>0.7087660256410256</v>
      </c>
    </row>
    <row r="253" spans="5:35" ht="12.75">
      <c r="E253" s="200">
        <f>W239</f>
        <v>2011</v>
      </c>
      <c r="G253" s="202">
        <f>'Target P&amp;L'!S65</f>
        <v>14.317073717948718</v>
      </c>
      <c r="I253" s="199">
        <v>20</v>
      </c>
      <c r="K253" s="43">
        <v>0</v>
      </c>
      <c r="O253" s="203"/>
      <c r="Q253" s="203"/>
      <c r="S253" s="203"/>
      <c r="U253" s="203"/>
      <c r="W253" s="146">
        <f>IF(W$239-$Q$239&lt;$I253,SLN($G253,$K253,$I253),0)</f>
        <v>0.7158536858974359</v>
      </c>
      <c r="Y253" s="146">
        <f>IF(Y$239-$Q$239&lt;$I253,SLN($G253,$K253,$I253),0)</f>
        <v>0.7158536858974359</v>
      </c>
      <c r="AA253" s="146">
        <f t="shared" si="25"/>
        <v>0.7158536858974359</v>
      </c>
      <c r="AC253" s="146">
        <f t="shared" si="26"/>
        <v>0.7158536858974359</v>
      </c>
      <c r="AE253" s="146">
        <f t="shared" si="27"/>
        <v>0.7158536858974359</v>
      </c>
      <c r="AG253" s="146">
        <f t="shared" si="28"/>
        <v>0.7158536858974359</v>
      </c>
      <c r="AI253" s="146">
        <f t="shared" si="29"/>
        <v>0.7158536858974359</v>
      </c>
    </row>
    <row r="254" spans="5:35" ht="12.75">
      <c r="E254" s="200">
        <f>Y239</f>
        <v>2012</v>
      </c>
      <c r="G254" s="202">
        <f>'Target P&amp;L'!U65</f>
        <v>14.460244455128205</v>
      </c>
      <c r="I254" s="199">
        <v>20</v>
      </c>
      <c r="K254" s="43">
        <v>0</v>
      </c>
      <c r="O254" s="203"/>
      <c r="Q254" s="203"/>
      <c r="S254" s="203"/>
      <c r="U254" s="203"/>
      <c r="W254" s="203"/>
      <c r="Y254" s="146">
        <f>IF(Y$239-$Q$239&lt;$I254,SLN($G254,$K254,$I254),0)</f>
        <v>0.7230122227564102</v>
      </c>
      <c r="AA254" s="146">
        <f t="shared" si="25"/>
        <v>0.7230122227564102</v>
      </c>
      <c r="AC254" s="146">
        <f t="shared" si="26"/>
        <v>0.7230122227564102</v>
      </c>
      <c r="AE254" s="146">
        <f t="shared" si="27"/>
        <v>0.7230122227564102</v>
      </c>
      <c r="AG254" s="146">
        <f t="shared" si="28"/>
        <v>0.7230122227564102</v>
      </c>
      <c r="AI254" s="146">
        <f t="shared" si="29"/>
        <v>0.7230122227564102</v>
      </c>
    </row>
    <row r="255" spans="5:35" ht="12.75">
      <c r="E255" s="200">
        <f>AA239</f>
        <v>2013</v>
      </c>
      <c r="G255" s="146">
        <f>AA50*G254/Y50</f>
        <v>14.604846899679487</v>
      </c>
      <c r="I255" s="199">
        <v>20</v>
      </c>
      <c r="K255" s="43">
        <v>0</v>
      </c>
      <c r="O255" s="203"/>
      <c r="Q255" s="203"/>
      <c r="S255" s="203"/>
      <c r="U255" s="203"/>
      <c r="W255" s="203"/>
      <c r="Y255" s="203"/>
      <c r="AA255" s="146">
        <f t="shared" si="25"/>
        <v>0.7302423449839743</v>
      </c>
      <c r="AC255" s="146">
        <f t="shared" si="26"/>
        <v>0.7302423449839743</v>
      </c>
      <c r="AE255" s="146">
        <f t="shared" si="27"/>
        <v>0.7302423449839743</v>
      </c>
      <c r="AG255" s="146">
        <f t="shared" si="28"/>
        <v>0.7302423449839743</v>
      </c>
      <c r="AI255" s="146">
        <f t="shared" si="29"/>
        <v>0.7302423449839743</v>
      </c>
    </row>
    <row r="256" spans="5:35" ht="12.75">
      <c r="E256" s="200">
        <f>AC239</f>
        <v>2014</v>
      </c>
      <c r="G256" s="146">
        <f>AC50*G255/AA50</f>
        <v>14.750895368676282</v>
      </c>
      <c r="I256" s="199">
        <v>20</v>
      </c>
      <c r="K256" s="43">
        <v>0</v>
      </c>
      <c r="O256" s="203"/>
      <c r="Q256" s="203"/>
      <c r="S256" s="203"/>
      <c r="U256" s="203"/>
      <c r="W256" s="203"/>
      <c r="Y256" s="203"/>
      <c r="AA256" s="203"/>
      <c r="AC256" s="146">
        <f t="shared" si="26"/>
        <v>0.7375447684338141</v>
      </c>
      <c r="AE256" s="146">
        <f t="shared" si="27"/>
        <v>0.7375447684338141</v>
      </c>
      <c r="AG256" s="146">
        <f t="shared" si="28"/>
        <v>0.7375447684338141</v>
      </c>
      <c r="AI256" s="146">
        <f t="shared" si="29"/>
        <v>0.7375447684338141</v>
      </c>
    </row>
    <row r="257" spans="5:35" ht="12.75">
      <c r="E257" s="200">
        <f>AE239</f>
        <v>2015</v>
      </c>
      <c r="G257" s="146">
        <f>AE50*G256/AC50</f>
        <v>14.898404322363046</v>
      </c>
      <c r="I257" s="199">
        <v>20</v>
      </c>
      <c r="K257" s="43">
        <v>0</v>
      </c>
      <c r="O257" s="203"/>
      <c r="Q257" s="203"/>
      <c r="S257" s="203"/>
      <c r="U257" s="203"/>
      <c r="W257" s="203"/>
      <c r="Y257" s="203"/>
      <c r="AA257" s="203"/>
      <c r="AC257" s="203"/>
      <c r="AE257" s="146">
        <f t="shared" si="27"/>
        <v>0.7449202161181523</v>
      </c>
      <c r="AG257" s="146">
        <f t="shared" si="28"/>
        <v>0.7449202161181523</v>
      </c>
      <c r="AI257" s="146">
        <f t="shared" si="29"/>
        <v>0.7449202161181523</v>
      </c>
    </row>
    <row r="258" spans="5:35" ht="12.75">
      <c r="E258" s="200">
        <f>AG239</f>
        <v>2016</v>
      </c>
      <c r="G258" s="146">
        <f>AG50*G257/AE50</f>
        <v>15.047388365586677</v>
      </c>
      <c r="I258" s="199">
        <v>20</v>
      </c>
      <c r="K258" s="43">
        <v>0</v>
      </c>
      <c r="O258" s="203"/>
      <c r="Q258" s="203"/>
      <c r="S258" s="203"/>
      <c r="U258" s="203"/>
      <c r="W258" s="203"/>
      <c r="Y258" s="203"/>
      <c r="AA258" s="203"/>
      <c r="AC258" s="203"/>
      <c r="AE258" s="203"/>
      <c r="AG258" s="146">
        <f t="shared" si="28"/>
        <v>0.7523694182793339</v>
      </c>
      <c r="AI258" s="146">
        <f t="shared" si="29"/>
        <v>0.7523694182793339</v>
      </c>
    </row>
    <row r="259" spans="5:35" ht="13.5" thickBot="1">
      <c r="E259" s="200">
        <f>AI239</f>
        <v>2017</v>
      </c>
      <c r="G259" s="146">
        <f>AI50*G258/AG50</f>
        <v>15.197862249242545</v>
      </c>
      <c r="I259" s="199">
        <v>20</v>
      </c>
      <c r="K259" s="43">
        <v>0</v>
      </c>
      <c r="O259" s="203"/>
      <c r="Q259" s="203"/>
      <c r="S259" s="203"/>
      <c r="U259" s="203"/>
      <c r="W259" s="203"/>
      <c r="Y259" s="203"/>
      <c r="AA259" s="203"/>
      <c r="AC259" s="203"/>
      <c r="AE259" s="203"/>
      <c r="AG259" s="203"/>
      <c r="AI259" s="146">
        <f t="shared" si="29"/>
        <v>0.7598931124621273</v>
      </c>
    </row>
    <row r="260" spans="13:35" ht="12.75">
      <c r="M260" t="s">
        <v>324</v>
      </c>
      <c r="O260" s="108">
        <f>SUM(O250:O259)</f>
        <v>0.13333333333333333</v>
      </c>
      <c r="Q260" s="108">
        <f>SUM(Q250:Q259)</f>
        <v>0.8</v>
      </c>
      <c r="S260" s="108">
        <f>SUM(S250:S259)</f>
        <v>1.505</v>
      </c>
      <c r="U260" s="108">
        <f>SUM(U250:U259)</f>
        <v>2.2137660256410254</v>
      </c>
      <c r="W260" s="108">
        <f>SUM(W250:W259)</f>
        <v>2.9296197115384612</v>
      </c>
      <c r="Y260" s="108">
        <f>SUM(Y250:Y259)</f>
        <v>3.652631934294871</v>
      </c>
      <c r="AA260" s="108">
        <f>SUM(AA250:AA259)</f>
        <v>4.3828742792788455</v>
      </c>
      <c r="AC260" s="108">
        <f>SUM(AC250:AC259)</f>
        <v>5.12041904771266</v>
      </c>
      <c r="AE260" s="108">
        <f>SUM(AE250:AE259)</f>
        <v>5.865339263830812</v>
      </c>
      <c r="AG260" s="108">
        <f>SUM(AG250:AG259)</f>
        <v>6.617708682110146</v>
      </c>
      <c r="AI260" s="108">
        <f>SUM(AI250:AI259)</f>
        <v>7.377601794572273</v>
      </c>
    </row>
    <row r="261" ht="13.5" thickBot="1">
      <c r="B261" s="58"/>
    </row>
    <row r="262" spans="1:35" ht="12.75">
      <c r="A262" s="52"/>
      <c r="B262" s="204" t="s">
        <v>333</v>
      </c>
      <c r="C262" s="181"/>
      <c r="D262" s="181"/>
      <c r="E262" s="182"/>
      <c r="G262" s="24" t="s">
        <v>330</v>
      </c>
      <c r="O262" s="108">
        <f>O260+O246</f>
        <v>2.221595238095238</v>
      </c>
      <c r="Q262" s="108">
        <f>Q260+Q246</f>
        <v>13.32957142857143</v>
      </c>
      <c r="S262" s="108">
        <f>S260+S246</f>
        <v>14.034571428571429</v>
      </c>
      <c r="U262" s="108">
        <f>U260+U246</f>
        <v>14.743337454212455</v>
      </c>
      <c r="W262" s="108">
        <f>W260+W246</f>
        <v>15.45919114010989</v>
      </c>
      <c r="Y262" s="108">
        <f>Y260+Y246</f>
        <v>16.1822033628663</v>
      </c>
      <c r="AA262" s="108">
        <f>AA260+AA246</f>
        <v>16.912445707850274</v>
      </c>
      <c r="AC262" s="108">
        <f>AC260+AC246</f>
        <v>17.64999047628409</v>
      </c>
      <c r="AE262" s="108">
        <f>AE260+AE246</f>
        <v>18.39491069240224</v>
      </c>
      <c r="AG262" s="108">
        <f>AG260+AG246</f>
        <v>19.147280110681574</v>
      </c>
      <c r="AI262" s="108">
        <f>AI260+AI246</f>
        <v>19.9071732231437</v>
      </c>
    </row>
    <row r="263" spans="1:35" ht="12.75">
      <c r="A263" s="52"/>
      <c r="B263" s="205" t="s">
        <v>31</v>
      </c>
      <c r="C263" s="206"/>
      <c r="D263" s="206"/>
      <c r="E263" s="207"/>
      <c r="G263" t="s">
        <v>331</v>
      </c>
      <c r="O263" s="94">
        <f>stub*Q263</f>
        <v>2.3499999999999996</v>
      </c>
      <c r="Q263" s="96">
        <f>'Target P&amp;L'!M22</f>
        <v>14.1</v>
      </c>
      <c r="S263" s="96">
        <f>'Target P&amp;L'!O22</f>
        <v>14.1</v>
      </c>
      <c r="U263" s="96">
        <f>'Target P&amp;L'!Q22</f>
        <v>14.1</v>
      </c>
      <c r="W263" s="96">
        <f>'Target P&amp;L'!S22</f>
        <v>14.241</v>
      </c>
      <c r="Y263" s="96">
        <f>'Target P&amp;L'!U22</f>
        <v>14.38341</v>
      </c>
      <c r="AA263" s="146">
        <f>AA50*Y263/Y50</f>
        <v>14.527244099999999</v>
      </c>
      <c r="AC263" s="146">
        <f>AC50*AA263/AA50</f>
        <v>14.672516541</v>
      </c>
      <c r="AE263" s="146">
        <f>AE50*AC263/AC50</f>
        <v>14.819241706410002</v>
      </c>
      <c r="AG263" s="146">
        <f>AG50*AE263/AE50</f>
        <v>14.967434123474101</v>
      </c>
      <c r="AI263" s="146">
        <f>AI50*AG263/AG50</f>
        <v>15.117108464708842</v>
      </c>
    </row>
    <row r="264" spans="1:5" ht="13.5" thickBot="1">
      <c r="A264" s="52"/>
      <c r="B264" s="184" t="s">
        <v>334</v>
      </c>
      <c r="C264" s="184"/>
      <c r="D264" s="184"/>
      <c r="E264" s="208"/>
    </row>
    <row r="265" spans="1:35" ht="13.5" thickBot="1">
      <c r="A265" s="52"/>
      <c r="B265" s="209">
        <v>0</v>
      </c>
      <c r="C265" s="210"/>
      <c r="D265" s="211" t="str">
        <f>IF(depr=0,"Manual","Computed")</f>
        <v>Computed</v>
      </c>
      <c r="E265" s="210"/>
      <c r="G265" s="10" t="s">
        <v>332</v>
      </c>
      <c r="O265" s="106">
        <f>IF($B$265=0,O263,O262)</f>
        <v>2.3499999999999996</v>
      </c>
      <c r="Q265" s="106">
        <f>IF($B$265=0,Q263,Q262)</f>
        <v>14.1</v>
      </c>
      <c r="S265" s="106">
        <f>IF($B$265=0,S263,S262)</f>
        <v>14.1</v>
      </c>
      <c r="U265" s="106">
        <f>IF($B$265=0,U263,U262)</f>
        <v>14.1</v>
      </c>
      <c r="W265" s="106">
        <f>IF($B$265=0,W263,W262)</f>
        <v>14.241</v>
      </c>
      <c r="Y265" s="106">
        <f>IF($B$265=0,Y263,Y262)</f>
        <v>14.38341</v>
      </c>
      <c r="AA265" s="106">
        <f>IF($B$265=0,AA263,AA262)</f>
        <v>14.527244099999999</v>
      </c>
      <c r="AC265" s="106">
        <f>IF($B$265=0,AC263,AC262)</f>
        <v>14.672516541</v>
      </c>
      <c r="AE265" s="106">
        <f>IF($B$265=0,AE263,AE262)</f>
        <v>14.819241706410002</v>
      </c>
      <c r="AG265" s="106">
        <f>IF($B$265=0,AG263,AG262)</f>
        <v>14.967434123474101</v>
      </c>
      <c r="AI265" s="106">
        <f>IF($B$265=0,AI263,AI262)</f>
        <v>15.117108464708842</v>
      </c>
    </row>
    <row r="266" ht="13.5" thickTop="1"/>
    <row r="267" spans="1:35" ht="12.75">
      <c r="A267" s="4" t="s">
        <v>278</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ht="12.75">
      <c r="A268" s="3" t="str">
        <f>$A$2</f>
        <v>($ in millions, except per share data)</v>
      </c>
    </row>
    <row r="269" spans="15:35" ht="13.5" thickBot="1">
      <c r="O269" s="22" t="str">
        <f>O$46</f>
        <v>2 Mos.</v>
      </c>
      <c r="Q269" s="20" t="str">
        <f>Q$317</f>
        <v>Projected Fiscal Years Ending September 30,</v>
      </c>
      <c r="R269" s="20"/>
      <c r="S269" s="20"/>
      <c r="T269" s="20"/>
      <c r="U269" s="20"/>
      <c r="V269" s="20"/>
      <c r="W269" s="20"/>
      <c r="X269" s="20"/>
      <c r="Y269" s="20"/>
      <c r="Z269" s="20"/>
      <c r="AA269" s="20"/>
      <c r="AB269" s="20"/>
      <c r="AC269" s="20"/>
      <c r="AD269" s="20"/>
      <c r="AE269" s="20"/>
      <c r="AF269" s="20"/>
      <c r="AG269" s="20"/>
      <c r="AH269" s="20"/>
      <c r="AI269" s="20"/>
    </row>
    <row r="270" spans="15:35" ht="12.75">
      <c r="O270" s="22" t="str">
        <f>O$47</f>
        <v>Ending</v>
      </c>
      <c r="Q270" s="81">
        <f>Q$318</f>
        <v>1</v>
      </c>
      <c r="S270" s="81">
        <f>S$318</f>
        <v>2</v>
      </c>
      <c r="U270" s="81">
        <f>U$318</f>
        <v>3</v>
      </c>
      <c r="W270" s="81">
        <f>W$318</f>
        <v>4</v>
      </c>
      <c r="Y270" s="81">
        <f>Y$318</f>
        <v>5</v>
      </c>
      <c r="AA270" s="81">
        <f>AA$318</f>
        <v>6</v>
      </c>
      <c r="AC270" s="81">
        <f>AC$318</f>
        <v>7</v>
      </c>
      <c r="AE270" s="81">
        <f>AE$318</f>
        <v>8</v>
      </c>
      <c r="AG270" s="81">
        <f>AG$318</f>
        <v>9</v>
      </c>
      <c r="AI270" s="81">
        <f>AI$318</f>
        <v>10</v>
      </c>
    </row>
    <row r="271" spans="15:35" ht="13.5" thickBot="1">
      <c r="O271" s="97" t="str">
        <f>O$48</f>
        <v>9/30/2008</v>
      </c>
      <c r="Q271" s="82">
        <f>Q$319</f>
        <v>2008</v>
      </c>
      <c r="S271" s="82">
        <f>S$319</f>
        <v>2009</v>
      </c>
      <c r="U271" s="82">
        <f>U$319</f>
        <v>2010</v>
      </c>
      <c r="W271" s="82">
        <f>W$319</f>
        <v>2011</v>
      </c>
      <c r="Y271" s="82">
        <f>Y$319</f>
        <v>2012</v>
      </c>
      <c r="AA271" s="82">
        <f>AA$319</f>
        <v>2013</v>
      </c>
      <c r="AC271" s="82">
        <f>AC$319</f>
        <v>2014</v>
      </c>
      <c r="AE271" s="82">
        <f>AE$319</f>
        <v>2015</v>
      </c>
      <c r="AG271" s="82">
        <f>AG$319</f>
        <v>2016</v>
      </c>
      <c r="AI271" s="82">
        <f>AI$319</f>
        <v>2017</v>
      </c>
    </row>
    <row r="272" ht="4.5" customHeight="1"/>
    <row r="273" spans="1:35" ht="12.75">
      <c r="A273" t="s">
        <v>279</v>
      </c>
      <c r="O273" s="67">
        <f>tax_rate</f>
        <v>0.35</v>
      </c>
      <c r="Q273" s="67">
        <f>tax_rate</f>
        <v>0.35</v>
      </c>
      <c r="S273" s="67">
        <f>tax_rate</f>
        <v>0.35</v>
      </c>
      <c r="U273" s="67">
        <f>tax_rate</f>
        <v>0.35</v>
      </c>
      <c r="W273" s="67">
        <f>tax_rate</f>
        <v>0.35</v>
      </c>
      <c r="Y273" s="67">
        <f>tax_rate</f>
        <v>0.35</v>
      </c>
      <c r="AA273" s="67">
        <f>tax_rate</f>
        <v>0.35</v>
      </c>
      <c r="AC273" s="67">
        <f>tax_rate</f>
        <v>0.35</v>
      </c>
      <c r="AE273" s="67">
        <f>tax_rate</f>
        <v>0.35</v>
      </c>
      <c r="AG273" s="67">
        <f>tax_rate</f>
        <v>0.35</v>
      </c>
      <c r="AI273" s="67">
        <f>tax_rate</f>
        <v>0.35</v>
      </c>
    </row>
    <row r="275" ht="12.75">
      <c r="A275" s="83" t="s">
        <v>280</v>
      </c>
    </row>
    <row r="276" spans="2:35" ht="12.75">
      <c r="B276" t="s">
        <v>281</v>
      </c>
      <c r="O276" s="76">
        <f>O101</f>
        <v>7.24627482791667</v>
      </c>
      <c r="Q276" s="76">
        <f>Q101</f>
        <v>65.56392511333333</v>
      </c>
      <c r="S276" s="76">
        <f>S101</f>
        <v>85.39646862500001</v>
      </c>
      <c r="U276" s="76">
        <f>U101</f>
        <v>84.59646862500004</v>
      </c>
      <c r="W276" s="76">
        <f>W101</f>
        <v>85.60746862500001</v>
      </c>
      <c r="Y276" s="76">
        <f>Y101</f>
        <v>86.698891125</v>
      </c>
      <c r="AA276" s="76">
        <f>AA101</f>
        <v>123.14043815416669</v>
      </c>
      <c r="AC276" s="76">
        <f>AC101</f>
        <v>144.46452831800002</v>
      </c>
      <c r="AE276" s="76">
        <f>AE101</f>
        <v>145.62792360118002</v>
      </c>
      <c r="AG276" s="76">
        <f>AG101</f>
        <v>147.1154528371918</v>
      </c>
      <c r="AI276" s="76">
        <f>AI101</f>
        <v>149.8647323655637</v>
      </c>
    </row>
    <row r="277" spans="2:35" ht="13.5" thickBot="1">
      <c r="B277" s="177" t="s">
        <v>282</v>
      </c>
      <c r="C277" t="s">
        <v>72</v>
      </c>
      <c r="I277" s="180" t="s">
        <v>296</v>
      </c>
      <c r="J277" s="181"/>
      <c r="K277" s="181"/>
      <c r="L277" s="181"/>
      <c r="M277" s="182"/>
      <c r="O277" s="38">
        <v>0</v>
      </c>
      <c r="P277" s="197"/>
      <c r="Q277" s="94">
        <f>O277</f>
        <v>0</v>
      </c>
      <c r="R277" s="197"/>
      <c r="S277" s="94">
        <f>Q277</f>
        <v>0</v>
      </c>
      <c r="T277" s="197"/>
      <c r="U277" s="94">
        <f>S277</f>
        <v>0</v>
      </c>
      <c r="V277" s="197"/>
      <c r="W277" s="94">
        <f>U277</f>
        <v>0</v>
      </c>
      <c r="X277" s="197"/>
      <c r="Y277" s="94">
        <f>W277</f>
        <v>0</v>
      </c>
      <c r="Z277" s="197"/>
      <c r="AA277" s="94">
        <f>Y277</f>
        <v>0</v>
      </c>
      <c r="AB277" s="197"/>
      <c r="AC277" s="94">
        <f>AA277</f>
        <v>0</v>
      </c>
      <c r="AD277" s="197"/>
      <c r="AE277" s="94">
        <f>AC277</f>
        <v>0</v>
      </c>
      <c r="AF277" s="197"/>
      <c r="AG277" s="94">
        <f>AE277</f>
        <v>0</v>
      </c>
      <c r="AI277" s="94">
        <f>AG277</f>
        <v>0</v>
      </c>
    </row>
    <row r="278" spans="2:35" ht="12.75">
      <c r="B278" s="177" t="s">
        <v>283</v>
      </c>
      <c r="C278" t="str">
        <f>"Adjusted "&amp;B276</f>
        <v>Adjusted Book Taxable Income</v>
      </c>
      <c r="I278" s="183"/>
      <c r="J278" s="184"/>
      <c r="K278" s="185" t="s">
        <v>297</v>
      </c>
      <c r="L278" s="184"/>
      <c r="M278" s="186" t="s">
        <v>298</v>
      </c>
      <c r="O278" s="108">
        <f>SUM(O276:O277)</f>
        <v>7.24627482791667</v>
      </c>
      <c r="Q278" s="108">
        <f>SUM(Q276:Q277)</f>
        <v>65.56392511333333</v>
      </c>
      <c r="S278" s="108">
        <f>SUM(S276:S277)</f>
        <v>85.39646862500001</v>
      </c>
      <c r="U278" s="108">
        <f>SUM(U276:U277)</f>
        <v>84.59646862500004</v>
      </c>
      <c r="W278" s="108">
        <f>SUM(W276:W277)</f>
        <v>85.60746862500001</v>
      </c>
      <c r="Y278" s="108">
        <f>SUM(Y276:Y277)</f>
        <v>86.698891125</v>
      </c>
      <c r="AA278" s="108">
        <f>SUM(AA276:AA277)</f>
        <v>123.14043815416669</v>
      </c>
      <c r="AC278" s="108">
        <f>SUM(AC276:AC277)</f>
        <v>144.46452831800002</v>
      </c>
      <c r="AE278" s="108">
        <f>SUM(AE276:AE277)</f>
        <v>145.62792360118002</v>
      </c>
      <c r="AG278" s="108">
        <f>SUM(AG276:AG277)</f>
        <v>147.1154528371918</v>
      </c>
      <c r="AI278" s="108">
        <f>SUM(AI276:AI277)</f>
        <v>149.8647323655637</v>
      </c>
    </row>
    <row r="279" spans="3:35" ht="12.75">
      <c r="C279" t="s">
        <v>284</v>
      </c>
      <c r="I279" s="187" t="s">
        <v>299</v>
      </c>
      <c r="J279" s="44"/>
      <c r="K279" s="188">
        <f>AI7</f>
        <v>5</v>
      </c>
      <c r="L279" s="44"/>
      <c r="M279" s="189">
        <v>15</v>
      </c>
      <c r="O279" s="146">
        <f>O278*O273</f>
        <v>2.5361961897708345</v>
      </c>
      <c r="Q279" s="146">
        <f>Q278*Q273</f>
        <v>22.947373789666663</v>
      </c>
      <c r="S279" s="146">
        <f>S278*S273</f>
        <v>29.888764018750003</v>
      </c>
      <c r="U279" s="146">
        <f>U278*U273</f>
        <v>29.608764018750012</v>
      </c>
      <c r="W279" s="146">
        <f>W278*W273</f>
        <v>29.962614018750003</v>
      </c>
      <c r="Y279" s="146">
        <f>Y278*Y273</f>
        <v>30.34461189375</v>
      </c>
      <c r="AA279" s="146">
        <f>AA278*AA273</f>
        <v>43.099153353958336</v>
      </c>
      <c r="AC279" s="146">
        <f>AC278*AC273</f>
        <v>50.56258491130001</v>
      </c>
      <c r="AE279" s="146">
        <f>AE278*AE273</f>
        <v>50.969773260413</v>
      </c>
      <c r="AG279" s="146">
        <f>AG278*AG273</f>
        <v>51.49040849301713</v>
      </c>
      <c r="AI279" s="146">
        <f>AI278*AI273</f>
        <v>52.45265632794729</v>
      </c>
    </row>
    <row r="280" spans="9:13" ht="12.75">
      <c r="I280" s="190" t="s">
        <v>258</v>
      </c>
      <c r="J280" s="58"/>
      <c r="K280" s="191">
        <f>AG22/K279</f>
        <v>23.256656374999995</v>
      </c>
      <c r="L280" s="58"/>
      <c r="M280" s="192">
        <f>AI45*AG55/M279</f>
        <v>0</v>
      </c>
    </row>
    <row r="281" ht="12.75">
      <c r="A281" s="83" t="s">
        <v>285</v>
      </c>
    </row>
    <row r="282" spans="2:35" ht="12.75">
      <c r="B282" t="str">
        <f>B276</f>
        <v>Book Taxable Income</v>
      </c>
      <c r="I282" s="180" t="s">
        <v>300</v>
      </c>
      <c r="J282" s="181"/>
      <c r="K282" s="181"/>
      <c r="L282" s="181"/>
      <c r="M282" s="182"/>
      <c r="O282" s="136">
        <f>O276</f>
        <v>7.24627482791667</v>
      </c>
      <c r="Q282" s="136">
        <f>Q276</f>
        <v>65.56392511333333</v>
      </c>
      <c r="S282" s="136">
        <f>S276</f>
        <v>85.39646862500001</v>
      </c>
      <c r="U282" s="136">
        <f>U276</f>
        <v>84.59646862500004</v>
      </c>
      <c r="W282" s="136">
        <f>W276</f>
        <v>85.60746862500001</v>
      </c>
      <c r="Y282" s="136">
        <f>Y276</f>
        <v>86.698891125</v>
      </c>
      <c r="AA282" s="136">
        <f>AA276</f>
        <v>123.14043815416669</v>
      </c>
      <c r="AC282" s="136">
        <f>AC276</f>
        <v>144.46452831800002</v>
      </c>
      <c r="AE282" s="136">
        <f>AE276</f>
        <v>145.62792360118002</v>
      </c>
      <c r="AG282" s="136">
        <f>AG276</f>
        <v>147.1154528371918</v>
      </c>
      <c r="AI282" s="136">
        <f>AI276</f>
        <v>149.8647323655637</v>
      </c>
    </row>
    <row r="283" spans="2:35" ht="12.75">
      <c r="B283" s="178" t="s">
        <v>286</v>
      </c>
      <c r="I283" s="183"/>
      <c r="J283" s="184"/>
      <c r="K283" s="185" t="s">
        <v>297</v>
      </c>
      <c r="L283" s="184"/>
      <c r="M283" s="186" t="s">
        <v>298</v>
      </c>
      <c r="O283" s="146">
        <f>stub*K280</f>
        <v>3.8761093958333324</v>
      </c>
      <c r="Q283" s="146">
        <f aca="true" t="shared" si="30" ref="Q283:Q291">O283</f>
        <v>3.8761093958333324</v>
      </c>
      <c r="S283" s="146">
        <f>MIN($K$280,$AG$22-SUM($Q283:Q283))</f>
        <v>23.256656374999995</v>
      </c>
      <c r="U283" s="146">
        <f>MIN($K$280,$AG$22-SUM($Q283:S283))</f>
        <v>23.256656374999995</v>
      </c>
      <c r="W283" s="146">
        <f>MIN($K$280,$AG$22-SUM($Q283:U283))</f>
        <v>23.256656374999995</v>
      </c>
      <c r="Y283" s="146">
        <f>MIN($K$280,$AG$22-SUM($Q283:W283))</f>
        <v>23.256656374999995</v>
      </c>
      <c r="AA283" s="146">
        <f>MIN($K$280,$AG$22-SUM($Q283:Y283))</f>
        <v>19.380546979166667</v>
      </c>
      <c r="AC283" s="146">
        <f>MIN($K$280,$AG$22-SUM($Q283:AA283))</f>
        <v>0</v>
      </c>
      <c r="AE283" s="146">
        <f>MIN($K$280,$AG$22-SUM($Q283:AC283))</f>
        <v>0</v>
      </c>
      <c r="AG283" s="146">
        <f>MIN($K$280,$AG$22-SUM($Q283:AE283))</f>
        <v>0</v>
      </c>
      <c r="AI283" s="146">
        <f>MIN($K$280,$AG$22-SUM($Q283:AG283))</f>
        <v>0</v>
      </c>
    </row>
    <row r="284" spans="2:35" ht="12.75">
      <c r="B284" s="177" t="s">
        <v>287</v>
      </c>
      <c r="I284" s="193" t="s">
        <v>299</v>
      </c>
      <c r="J284" s="6"/>
      <c r="K284" s="194" t="s">
        <v>24</v>
      </c>
      <c r="L284" s="6"/>
      <c r="M284" s="195">
        <f>M279</f>
        <v>15</v>
      </c>
      <c r="O284" s="146">
        <f>$K$196</f>
        <v>0</v>
      </c>
      <c r="Q284" s="146">
        <f t="shared" si="30"/>
        <v>0</v>
      </c>
      <c r="S284" s="146">
        <f>$K$285</f>
        <v>0</v>
      </c>
      <c r="U284" s="146">
        <f>$K$285</f>
        <v>0</v>
      </c>
      <c r="W284" s="146">
        <f>$K$285</f>
        <v>0</v>
      </c>
      <c r="Y284" s="146">
        <f>$K$285</f>
        <v>0</v>
      </c>
      <c r="AA284" s="146">
        <f>$K$285</f>
        <v>0</v>
      </c>
      <c r="AC284" s="146">
        <f>$K$285</f>
        <v>0</v>
      </c>
      <c r="AE284" s="146">
        <f>$K$285</f>
        <v>0</v>
      </c>
      <c r="AG284" s="146">
        <f>$K$285</f>
        <v>0</v>
      </c>
      <c r="AI284" s="146">
        <f>$K$285</f>
        <v>0</v>
      </c>
    </row>
    <row r="285" spans="2:35" ht="12.75">
      <c r="B285" s="177" t="s">
        <v>288</v>
      </c>
      <c r="I285" s="190" t="s">
        <v>258</v>
      </c>
      <c r="J285" s="58"/>
      <c r="K285" s="196">
        <v>0</v>
      </c>
      <c r="L285" s="58"/>
      <c r="M285" s="192">
        <f>AI45*goodwill/M284</f>
        <v>0</v>
      </c>
      <c r="O285" s="146">
        <f>stub*K290</f>
        <v>0.3125</v>
      </c>
      <c r="Q285" s="146">
        <f t="shared" si="30"/>
        <v>0.3125</v>
      </c>
      <c r="S285" s="146">
        <f>MIN($K$290,$AG$21-SUM($Q285:Q285))</f>
        <v>1.875</v>
      </c>
      <c r="U285" s="146">
        <f>MIN($K$290,$AG$21-SUM($Q285:S285))</f>
        <v>1.875</v>
      </c>
      <c r="W285" s="146">
        <f>MIN($K$290,$AG$21-SUM($Q285:U285))</f>
        <v>1.875</v>
      </c>
      <c r="Y285" s="146">
        <f>MIN($K$290,$AG$21-SUM($Q285:W285))</f>
        <v>1.875</v>
      </c>
      <c r="AA285" s="146">
        <f>MIN($K$290,$AG$21-SUM($Q285:Y285))</f>
        <v>1.875</v>
      </c>
      <c r="AC285" s="146">
        <f>MIN($K$290,$AG$21-SUM($Q285:AA285))</f>
        <v>1.875</v>
      </c>
      <c r="AE285" s="146">
        <f>MIN($K$290,$AG$21-SUM($Q285:AC285))</f>
        <v>1.875</v>
      </c>
      <c r="AG285" s="146">
        <f>MIN($K$290,$AG$21-SUM($Q285:AE285))</f>
        <v>1.5625</v>
      </c>
      <c r="AI285" s="146">
        <f>MIN($K$290,$AG$21-SUM($Q285:AG285))</f>
        <v>0</v>
      </c>
    </row>
    <row r="286" spans="2:35" ht="12.75">
      <c r="B286" s="177" t="s">
        <v>289</v>
      </c>
      <c r="O286" s="43">
        <v>0</v>
      </c>
      <c r="Q286" s="146">
        <f t="shared" si="30"/>
        <v>0</v>
      </c>
      <c r="S286" s="43">
        <v>0</v>
      </c>
      <c r="U286" s="43">
        <v>0</v>
      </c>
      <c r="W286" s="43">
        <v>0</v>
      </c>
      <c r="Y286" s="43">
        <v>0</v>
      </c>
      <c r="AA286" s="43">
        <v>0</v>
      </c>
      <c r="AC286" s="43">
        <v>0</v>
      </c>
      <c r="AE286" s="43">
        <v>0</v>
      </c>
      <c r="AG286" s="43">
        <v>0</v>
      </c>
      <c r="AI286" s="43">
        <v>0</v>
      </c>
    </row>
    <row r="287" spans="2:35" ht="12.75">
      <c r="B287" s="179" t="s">
        <v>290</v>
      </c>
      <c r="I287" s="180" t="s">
        <v>301</v>
      </c>
      <c r="J287" s="181"/>
      <c r="K287" s="181"/>
      <c r="L287" s="181"/>
      <c r="M287" s="182"/>
      <c r="O287" s="43">
        <v>0</v>
      </c>
      <c r="Q287" s="37">
        <f t="shared" si="30"/>
        <v>0</v>
      </c>
      <c r="S287" s="43">
        <v>0</v>
      </c>
      <c r="U287" s="43">
        <v>0</v>
      </c>
      <c r="W287" s="43">
        <v>0</v>
      </c>
      <c r="Y287" s="43">
        <v>0</v>
      </c>
      <c r="AA287" s="43">
        <v>0</v>
      </c>
      <c r="AC287" s="43">
        <v>0</v>
      </c>
      <c r="AE287" s="43">
        <v>0</v>
      </c>
      <c r="AG287" s="43">
        <v>0</v>
      </c>
      <c r="AI287" s="43">
        <v>0</v>
      </c>
    </row>
    <row r="288" spans="2:35" ht="12.75">
      <c r="B288" s="177" t="s">
        <v>291</v>
      </c>
      <c r="I288" s="183"/>
      <c r="J288" s="184"/>
      <c r="K288" s="185" t="s">
        <v>297</v>
      </c>
      <c r="L288" s="184"/>
      <c r="M288" s="186" t="s">
        <v>298</v>
      </c>
      <c r="O288" s="146">
        <f>-stub*M280</f>
        <v>0</v>
      </c>
      <c r="Q288" s="37">
        <f t="shared" si="30"/>
        <v>0</v>
      </c>
      <c r="S288" s="37">
        <f>MIN($M$280,$AG$22-SUM($Q288:Q288))</f>
        <v>0</v>
      </c>
      <c r="U288" s="37">
        <f>MIN($M$280,$AG$22-SUM($Q288:S288))</f>
        <v>0</v>
      </c>
      <c r="W288" s="37">
        <f>MIN($M$280,$AG$22-SUM($Q288:U288))</f>
        <v>0</v>
      </c>
      <c r="Y288" s="37">
        <f>MIN($M$280,$AG$22-SUM($Q288:W288))</f>
        <v>0</v>
      </c>
      <c r="AA288" s="37">
        <f>MIN($M$280,$AG$22-SUM($Q288:Y288))</f>
        <v>0</v>
      </c>
      <c r="AC288" s="37">
        <f>MIN($M$280,$AG$22-SUM($Q288:AA288))</f>
        <v>0</v>
      </c>
      <c r="AE288" s="37">
        <f>MIN($M$280,$AG$22-SUM($Q288:AC288))</f>
        <v>0</v>
      </c>
      <c r="AG288" s="37">
        <f>MIN($M$280,$AG$22-SUM($Q288:AE288))</f>
        <v>0</v>
      </c>
      <c r="AI288" s="37">
        <f>MIN($M$280,$AG$22-SUM($Q288:AG288))</f>
        <v>0</v>
      </c>
    </row>
    <row r="289" spans="2:35" ht="12.75">
      <c r="B289" s="177" t="s">
        <v>292</v>
      </c>
      <c r="I289" s="187" t="s">
        <v>299</v>
      </c>
      <c r="J289" s="44"/>
      <c r="K289" s="188">
        <f>AI9</f>
        <v>8</v>
      </c>
      <c r="L289" s="44"/>
      <c r="M289" s="189">
        <v>6</v>
      </c>
      <c r="O289" s="146">
        <f>-stub*M285</f>
        <v>0</v>
      </c>
      <c r="Q289" s="37">
        <f t="shared" si="30"/>
        <v>0</v>
      </c>
      <c r="S289" s="37">
        <f>MIN($M$285,goodwill-SUM($Q289:Q289))</f>
        <v>0</v>
      </c>
      <c r="U289" s="37">
        <f>MIN($M$285,goodwill-SUM($Q289:S289))</f>
        <v>0</v>
      </c>
      <c r="W289" s="37">
        <f>MIN($M$285,goodwill-SUM($Q289:U289))</f>
        <v>0</v>
      </c>
      <c r="Y289" s="37">
        <f>MIN($M$285,goodwill-SUM($Q289:W289))</f>
        <v>0</v>
      </c>
      <c r="AA289" s="37">
        <f>MIN($M$285,goodwill-SUM($Q289:Y289))</f>
        <v>0</v>
      </c>
      <c r="AC289" s="37">
        <f>MIN($M$285,goodwill-SUM($Q289:AA289))</f>
        <v>0</v>
      </c>
      <c r="AE289" s="37">
        <f>MIN($M$285,goodwill-SUM($Q289:AC289))</f>
        <v>0</v>
      </c>
      <c r="AG289" s="37">
        <f>MIN($M$285,goodwill-SUM($Q289:AE289))</f>
        <v>0</v>
      </c>
      <c r="AI289" s="37">
        <f>MIN($M$285,goodwill-SUM($Q289:AG289))</f>
        <v>0</v>
      </c>
    </row>
    <row r="290" spans="2:35" ht="12.75">
      <c r="B290" s="177" t="s">
        <v>293</v>
      </c>
      <c r="I290" s="190" t="s">
        <v>258</v>
      </c>
      <c r="J290" s="58"/>
      <c r="K290" s="191">
        <f>AG21/K289</f>
        <v>1.875</v>
      </c>
      <c r="L290" s="58"/>
      <c r="M290" s="192">
        <f>AI45*AG54/M289</f>
        <v>0</v>
      </c>
      <c r="O290" s="146">
        <f>-stub*M290</f>
        <v>0</v>
      </c>
      <c r="Q290" s="37">
        <f t="shared" si="30"/>
        <v>0</v>
      </c>
      <c r="S290" s="37">
        <f>MIN($M$290,$AG$21-SUM($Q290:Q290))</f>
        <v>0</v>
      </c>
      <c r="U290" s="37">
        <f>MIN($M$290,$AG$21-SUM($Q290:S290))</f>
        <v>0</v>
      </c>
      <c r="W290" s="37">
        <f>MIN($M$290,$AG$21-SUM($Q290:U290))</f>
        <v>0</v>
      </c>
      <c r="Y290" s="37">
        <f>MIN($M$290,$AG$21-SUM($Q290:W290))</f>
        <v>0</v>
      </c>
      <c r="AA290" s="37">
        <f>MIN($M$290,$AG$21-SUM($Q290:Y290))</f>
        <v>0</v>
      </c>
      <c r="AC290" s="37">
        <f>MIN($M$290,$AG$21-SUM($Q290:AA290))</f>
        <v>0</v>
      </c>
      <c r="AE290" s="37">
        <f>MIN($M$290,$AG$21-SUM($Q290:AC290))</f>
        <v>0</v>
      </c>
      <c r="AG290" s="37">
        <f>MIN($M$290,$AG$21-SUM($Q290:AE290))</f>
        <v>0</v>
      </c>
      <c r="AI290" s="37">
        <f>MIN($M$290,$AG$21-SUM($Q290:AG290))</f>
        <v>0</v>
      </c>
    </row>
    <row r="291" spans="2:35" ht="13.5" thickBot="1">
      <c r="B291" s="177" t="s">
        <v>294</v>
      </c>
      <c r="O291" s="43">
        <v>0</v>
      </c>
      <c r="Q291" s="37">
        <f t="shared" si="30"/>
        <v>0</v>
      </c>
      <c r="S291" s="43">
        <v>0</v>
      </c>
      <c r="U291" s="43">
        <v>0</v>
      </c>
      <c r="W291" s="43">
        <v>0</v>
      </c>
      <c r="Y291" s="43">
        <v>0</v>
      </c>
      <c r="AA291" s="43">
        <v>0</v>
      </c>
      <c r="AC291" s="43">
        <v>0</v>
      </c>
      <c r="AE291" s="43">
        <v>0</v>
      </c>
      <c r="AG291" s="43">
        <v>0</v>
      </c>
      <c r="AI291" s="43">
        <v>0</v>
      </c>
    </row>
    <row r="292" spans="2:35" ht="12.75">
      <c r="B292" s="177" t="s">
        <v>295</v>
      </c>
      <c r="I292" s="213" t="s">
        <v>361</v>
      </c>
      <c r="K292" s="213" t="s">
        <v>235</v>
      </c>
      <c r="M292" s="213" t="s">
        <v>362</v>
      </c>
      <c r="O292" s="108">
        <f>SUM(O282:O291)</f>
        <v>11.434884223750002</v>
      </c>
      <c r="Q292" s="108">
        <f>SUM(Q282:Q291)</f>
        <v>69.75253450916667</v>
      </c>
      <c r="S292" s="108">
        <f>SUM(S282:S291)</f>
        <v>110.528125</v>
      </c>
      <c r="U292" s="108">
        <f>SUM(U282:U291)</f>
        <v>109.72812500000003</v>
      </c>
      <c r="W292" s="108">
        <f>SUM(W282:W291)</f>
        <v>110.739125</v>
      </c>
      <c r="Y292" s="108">
        <f>SUM(Y282:Y291)</f>
        <v>111.8305475</v>
      </c>
      <c r="AA292" s="108">
        <f>SUM(AA282:AA291)</f>
        <v>144.39598513333334</v>
      </c>
      <c r="AC292" s="108">
        <f>SUM(AC282:AC291)</f>
        <v>146.33952831800002</v>
      </c>
      <c r="AE292" s="108">
        <f>SUM(AE282:AE291)</f>
        <v>147.50292360118002</v>
      </c>
      <c r="AG292" s="108">
        <f>SUM(AG282:AG291)</f>
        <v>148.6779528371918</v>
      </c>
      <c r="AI292" s="108">
        <f>SUM(AI282:AI291)</f>
        <v>149.8647323655637</v>
      </c>
    </row>
    <row r="293" spans="2:35" ht="12.75">
      <c r="B293" s="177" t="s">
        <v>354</v>
      </c>
      <c r="I293" s="214" t="s">
        <v>229</v>
      </c>
      <c r="K293" s="214" t="s">
        <v>318</v>
      </c>
      <c r="M293" s="214" t="s">
        <v>363</v>
      </c>
      <c r="O293" s="43">
        <v>0</v>
      </c>
      <c r="Q293" s="39">
        <f>-MAX(0,MIN(Q292,Q299,SUM(Q301:Q302)))</f>
        <v>0</v>
      </c>
      <c r="S293" s="39">
        <f>-MAX(0,MIN(S292,S299,SUM(S301:S302)))</f>
        <v>0</v>
      </c>
      <c r="U293" s="39">
        <f>-MAX(0,MIN(U292,U299,SUM(U301:U302)))</f>
        <v>0</v>
      </c>
      <c r="W293" s="39">
        <f>-MAX(0,MIN(W292,W299,SUM(W301:W302)))</f>
        <v>0</v>
      </c>
      <c r="Y293" s="39">
        <f>-MAX(0,MIN(Y292,Y299,SUM(Y301:Y302)))</f>
        <v>0</v>
      </c>
      <c r="AA293" s="39">
        <f>-MAX(0,MIN(AA292,AA299,SUM(AA301:AA302)))</f>
        <v>0</v>
      </c>
      <c r="AC293" s="39">
        <f>-MAX(0,MIN(AC292,AC299,SUM(AC301:AC302)))</f>
        <v>0</v>
      </c>
      <c r="AE293" s="39">
        <f>-MAX(0,MIN(AE292,AE299,SUM(AE301:AE302)))</f>
        <v>0</v>
      </c>
      <c r="AG293" s="39">
        <f>-MAX(0,MIN(AG292,AG299,SUM(AG301:AG302)))</f>
        <v>0</v>
      </c>
      <c r="AI293" s="39">
        <f>-MAX(0,MIN(AI292,AI299,SUM(AI301:AI302)))</f>
        <v>0</v>
      </c>
    </row>
    <row r="294" spans="2:35" ht="13.5" thickBot="1">
      <c r="B294" s="177" t="s">
        <v>355</v>
      </c>
      <c r="I294" s="215">
        <v>0.0446</v>
      </c>
      <c r="K294" s="216">
        <f>Y11</f>
        <v>562.9861275</v>
      </c>
      <c r="M294" s="217">
        <v>5</v>
      </c>
      <c r="O294" s="43">
        <v>0</v>
      </c>
      <c r="Q294" s="39">
        <f>-MAX(0,MIN(SUM(Q292:Q293),Q307))</f>
        <v>0</v>
      </c>
      <c r="S294" s="39">
        <f>-MAX(0,MIN(SUM(S292:S293),S307))</f>
        <v>0</v>
      </c>
      <c r="U294" s="39">
        <f>-MAX(0,MIN(SUM(U292:U293),U307))</f>
        <v>0</v>
      </c>
      <c r="W294" s="39">
        <f>-MAX(0,MIN(SUM(W292:W293),W307))</f>
        <v>0</v>
      </c>
      <c r="Y294" s="39">
        <f>-MAX(0,MIN(SUM(Y292:Y293),Y307))</f>
        <v>0</v>
      </c>
      <c r="AA294" s="39">
        <f>-MAX(0,MIN(SUM(AA292:AA293),AA307))</f>
        <v>0</v>
      </c>
      <c r="AC294" s="39">
        <f>-MAX(0,MIN(SUM(AC292:AC293),AC307))</f>
        <v>0</v>
      </c>
      <c r="AE294" s="39">
        <f>-MAX(0,MIN(SUM(AE292:AE293),AE307))</f>
        <v>0</v>
      </c>
      <c r="AG294" s="39">
        <f>-MAX(0,MIN(SUM(AG292:AG293),AG307))</f>
        <v>0</v>
      </c>
      <c r="AI294" s="39">
        <f>-MAX(0,MIN(SUM(AI292:AI293),AI307))</f>
        <v>0</v>
      </c>
    </row>
    <row r="295" spans="2:35" ht="13.5" thickBot="1">
      <c r="B295" s="177" t="s">
        <v>356</v>
      </c>
      <c r="O295" s="108">
        <f>SUM(O292:O294)</f>
        <v>11.434884223750002</v>
      </c>
      <c r="Q295" s="108">
        <f>SUM(Q292:Q294)</f>
        <v>69.75253450916667</v>
      </c>
      <c r="S295" s="108">
        <f>SUM(S292:S294)</f>
        <v>110.528125</v>
      </c>
      <c r="U295" s="108">
        <f>SUM(U292:U294)</f>
        <v>109.72812500000003</v>
      </c>
      <c r="W295" s="108">
        <f>SUM(W292:W294)</f>
        <v>110.739125</v>
      </c>
      <c r="Y295" s="108">
        <f>SUM(Y292:Y294)</f>
        <v>111.8305475</v>
      </c>
      <c r="AA295" s="108">
        <f>SUM(AA292:AA294)</f>
        <v>144.39598513333334</v>
      </c>
      <c r="AC295" s="108">
        <f>SUM(AC292:AC294)</f>
        <v>146.33952831800002</v>
      </c>
      <c r="AE295" s="108">
        <f>SUM(AE292:AE294)</f>
        <v>147.50292360118002</v>
      </c>
      <c r="AG295" s="108">
        <f>SUM(AG292:AG294)</f>
        <v>148.6779528371918</v>
      </c>
      <c r="AI295" s="108">
        <f>SUM(AI292:AI294)</f>
        <v>149.8647323655637</v>
      </c>
    </row>
    <row r="296" spans="3:35" ht="13.5" thickBot="1">
      <c r="C296" t="s">
        <v>357</v>
      </c>
      <c r="O296" s="218">
        <f>MAX(0,O295*O273)</f>
        <v>4.0022094783125</v>
      </c>
      <c r="Q296" s="218">
        <f>MAX(0,Q295*Q273)</f>
        <v>24.41338707820833</v>
      </c>
      <c r="S296" s="218">
        <f>MAX(0,S295*S273)</f>
        <v>38.68484375</v>
      </c>
      <c r="U296" s="218">
        <f>MAX(0,U295*U273)</f>
        <v>38.40484375000001</v>
      </c>
      <c r="W296" s="218">
        <f>MAX(0,W295*W273)</f>
        <v>38.75869375</v>
      </c>
      <c r="Y296" s="218">
        <f>MAX(0,Y295*Y273)</f>
        <v>39.140691624999995</v>
      </c>
      <c r="AA296" s="218">
        <f>MAX(0,AA295*AA273)</f>
        <v>50.538594796666665</v>
      </c>
      <c r="AC296" s="218">
        <f>MAX(0,AC295*AC273)</f>
        <v>51.21883491130001</v>
      </c>
      <c r="AE296" s="218">
        <f>MAX(0,AE295*AE273)</f>
        <v>51.626023260413</v>
      </c>
      <c r="AG296" s="218">
        <f>MAX(0,AG295*AG273)</f>
        <v>52.03728349301713</v>
      </c>
      <c r="AI296" s="218">
        <f>MAX(0,AI295*AI273)</f>
        <v>52.45265632794729</v>
      </c>
    </row>
    <row r="297" ht="13.5" thickTop="1"/>
    <row r="298" ht="12.75">
      <c r="A298" s="83" t="s">
        <v>358</v>
      </c>
    </row>
    <row r="299" spans="1:35" ht="12.75">
      <c r="A299" s="83"/>
      <c r="B299" t="s">
        <v>369</v>
      </c>
      <c r="K299" s="219"/>
      <c r="Q299" s="76">
        <f>IF(Q270&gt;$M$294,0,$I$294*$K$294)</f>
        <v>25.109181286499997</v>
      </c>
      <c r="S299" s="76">
        <f>IF(S270&gt;$M$294,0,$I$294*$K$294)</f>
        <v>25.109181286499997</v>
      </c>
      <c r="U299" s="76">
        <f>IF(U270&gt;$M$294,0,$I$294*$K$294)</f>
        <v>25.109181286499997</v>
      </c>
      <c r="W299" s="76">
        <f>IF(W270&gt;$M$294,0,$I$294*$K$294)</f>
        <v>25.109181286499997</v>
      </c>
      <c r="Y299" s="76">
        <f>IF(Y270&gt;$M$294,0,$I$294*$K$294)</f>
        <v>25.109181286499997</v>
      </c>
      <c r="AA299" s="76">
        <f>IF(AA270&gt;$M$294,0,$I$294*$K$294)</f>
        <v>0</v>
      </c>
      <c r="AC299" s="76">
        <f>IF(AC270&gt;$M$294,0,$I$294*$K$294)</f>
        <v>0</v>
      </c>
      <c r="AE299" s="76">
        <f>IF(AE270&gt;$M$294,0,$I$294*$K$294)</f>
        <v>0</v>
      </c>
      <c r="AG299" s="76">
        <f>IF(AG270&gt;$M$294,0,$I$294*$K$294)</f>
        <v>0</v>
      </c>
      <c r="AI299" s="76">
        <f>IF(AI270&gt;$M$294,0,$I$294*$K$294)</f>
        <v>0</v>
      </c>
    </row>
    <row r="300" spans="1:11" ht="4.5" customHeight="1">
      <c r="A300" s="83"/>
      <c r="K300" s="219"/>
    </row>
    <row r="301" spans="2:35" ht="12.75">
      <c r="B301" t="s">
        <v>359</v>
      </c>
      <c r="Q301" s="77">
        <v>0</v>
      </c>
      <c r="S301" s="76">
        <f>Q304</f>
        <v>0</v>
      </c>
      <c r="U301" s="76">
        <f>S304</f>
        <v>0</v>
      </c>
      <c r="W301" s="76">
        <f>U304</f>
        <v>0</v>
      </c>
      <c r="Y301" s="76">
        <f>W304</f>
        <v>0</v>
      </c>
      <c r="AA301" s="76">
        <f>Y304</f>
        <v>0</v>
      </c>
      <c r="AC301" s="76">
        <f>AA304</f>
        <v>0</v>
      </c>
      <c r="AE301" s="76">
        <f>AC304</f>
        <v>0</v>
      </c>
      <c r="AG301" s="76">
        <f>AE304</f>
        <v>0</v>
      </c>
      <c r="AI301" s="76">
        <f>AG304</f>
        <v>0</v>
      </c>
    </row>
    <row r="302" spans="2:35" ht="12.75">
      <c r="B302" s="177" t="s">
        <v>370</v>
      </c>
      <c r="Q302" s="146">
        <f>IF(AI12=1,-Q301,-MAX(0,Q301-I294*K294*M294))</f>
        <v>0</v>
      </c>
      <c r="S302" s="43">
        <v>0</v>
      </c>
      <c r="U302" s="146">
        <f>S302</f>
        <v>0</v>
      </c>
      <c r="W302" s="146">
        <f>U302</f>
        <v>0</v>
      </c>
      <c r="Y302" s="146">
        <f>W302</f>
        <v>0</v>
      </c>
      <c r="AA302" s="146">
        <f>Y302</f>
        <v>0</v>
      </c>
      <c r="AC302" s="146">
        <f>AA302</f>
        <v>0</v>
      </c>
      <c r="AE302" s="146">
        <f>AC302</f>
        <v>0</v>
      </c>
      <c r="AG302" s="146">
        <f>AE302</f>
        <v>0</v>
      </c>
      <c r="AI302" s="146">
        <f>AG302</f>
        <v>0</v>
      </c>
    </row>
    <row r="303" spans="2:35" ht="13.5" thickBot="1">
      <c r="B303" s="177" t="s">
        <v>354</v>
      </c>
      <c r="Q303" s="37">
        <f>Q293</f>
        <v>0</v>
      </c>
      <c r="S303" s="37">
        <f>S293</f>
        <v>0</v>
      </c>
      <c r="U303" s="37">
        <f>U293</f>
        <v>0</v>
      </c>
      <c r="W303" s="37">
        <f>W293</f>
        <v>0</v>
      </c>
      <c r="Y303" s="37">
        <f>Y293</f>
        <v>0</v>
      </c>
      <c r="AA303" s="37">
        <f>AA293</f>
        <v>0</v>
      </c>
      <c r="AC303" s="37">
        <f>AC293</f>
        <v>0</v>
      </c>
      <c r="AE303" s="37">
        <f>AE293</f>
        <v>0</v>
      </c>
      <c r="AG303" s="37">
        <f>AG293</f>
        <v>0</v>
      </c>
      <c r="AI303" s="37">
        <f>AI293</f>
        <v>0</v>
      </c>
    </row>
    <row r="304" spans="2:35" ht="12.75">
      <c r="B304" t="s">
        <v>360</v>
      </c>
      <c r="Q304" s="108">
        <f>SUM(Q301:Q303)</f>
        <v>0</v>
      </c>
      <c r="S304" s="108">
        <f>SUM(S301:S303)</f>
        <v>0</v>
      </c>
      <c r="U304" s="108">
        <f>SUM(U301:U303)</f>
        <v>0</v>
      </c>
      <c r="W304" s="108">
        <f>SUM(W301:W303)</f>
        <v>0</v>
      </c>
      <c r="Y304" s="108">
        <f>SUM(Y301:Y303)</f>
        <v>0</v>
      </c>
      <c r="AA304" s="108">
        <f>SUM(AA301:AA303)</f>
        <v>0</v>
      </c>
      <c r="AC304" s="108">
        <f>SUM(AC301:AC303)</f>
        <v>0</v>
      </c>
      <c r="AE304" s="108">
        <f>SUM(AE301:AE303)</f>
        <v>0</v>
      </c>
      <c r="AG304" s="108">
        <f>SUM(AG301:AG303)</f>
        <v>0</v>
      </c>
      <c r="AI304" s="108">
        <f>SUM(AI301:AI303)</f>
        <v>0</v>
      </c>
    </row>
    <row r="306" ht="12.75">
      <c r="A306" s="83" t="s">
        <v>364</v>
      </c>
    </row>
    <row r="307" spans="2:35" ht="12.75">
      <c r="B307" t="s">
        <v>359</v>
      </c>
      <c r="Q307" s="77">
        <v>0</v>
      </c>
      <c r="S307" s="76">
        <f>Q310</f>
        <v>0</v>
      </c>
      <c r="U307" s="76">
        <f>S310</f>
        <v>0</v>
      </c>
      <c r="W307" s="76">
        <f>U310</f>
        <v>0</v>
      </c>
      <c r="Y307" s="76">
        <f>W310</f>
        <v>0</v>
      </c>
      <c r="AA307" s="76">
        <f>Y310</f>
        <v>0</v>
      </c>
      <c r="AC307" s="76">
        <f>AA310</f>
        <v>0</v>
      </c>
      <c r="AE307" s="76">
        <f>AC310</f>
        <v>0</v>
      </c>
      <c r="AG307" s="76">
        <f>AE310</f>
        <v>0</v>
      </c>
      <c r="AI307" s="76">
        <f>AG310</f>
        <v>0</v>
      </c>
    </row>
    <row r="308" spans="2:35" ht="12.75">
      <c r="B308" s="177" t="s">
        <v>355</v>
      </c>
      <c r="Q308" s="37">
        <f>Q294</f>
        <v>0</v>
      </c>
      <c r="S308" s="37">
        <f>S294</f>
        <v>0</v>
      </c>
      <c r="U308" s="37">
        <f>U294</f>
        <v>0</v>
      </c>
      <c r="W308" s="37">
        <f>W294</f>
        <v>0</v>
      </c>
      <c r="Y308" s="37">
        <f>Y294</f>
        <v>0</v>
      </c>
      <c r="AA308" s="37">
        <f>AA294</f>
        <v>0</v>
      </c>
      <c r="AC308" s="37">
        <f>AC294</f>
        <v>0</v>
      </c>
      <c r="AE308" s="37">
        <f>AE294</f>
        <v>0</v>
      </c>
      <c r="AG308" s="37">
        <f>AG294</f>
        <v>0</v>
      </c>
      <c r="AI308" s="37">
        <f>AI294</f>
        <v>0</v>
      </c>
    </row>
    <row r="309" spans="2:35" ht="13.5" thickBot="1">
      <c r="B309" s="177" t="s">
        <v>365</v>
      </c>
      <c r="Q309" s="37">
        <f>-MIN(0,Q295)</f>
        <v>0</v>
      </c>
      <c r="S309" s="37">
        <f>-MIN(0,S295)</f>
        <v>0</v>
      </c>
      <c r="U309" s="37">
        <f>-MIN(0,U295)</f>
        <v>0</v>
      </c>
      <c r="W309" s="37">
        <f>-MIN(0,W295)</f>
        <v>0</v>
      </c>
      <c r="Y309" s="37">
        <f>-MIN(0,Y295)</f>
        <v>0</v>
      </c>
      <c r="AA309" s="37">
        <f>-MIN(0,AA295)</f>
        <v>0</v>
      </c>
      <c r="AC309" s="37">
        <f>-MIN(0,AC295)</f>
        <v>0</v>
      </c>
      <c r="AE309" s="37">
        <f>-MIN(0,AE295)</f>
        <v>0</v>
      </c>
      <c r="AG309" s="37">
        <f>-MIN(0,AG295)</f>
        <v>0</v>
      </c>
      <c r="AI309" s="37">
        <f>-MIN(0,AI295)</f>
        <v>0</v>
      </c>
    </row>
    <row r="310" spans="2:35" ht="12.75">
      <c r="B310" t="s">
        <v>360</v>
      </c>
      <c r="Q310" s="108">
        <f>SUM(Q307:Q309)</f>
        <v>0</v>
      </c>
      <c r="S310" s="108">
        <f>SUM(S307:S309)</f>
        <v>0</v>
      </c>
      <c r="U310" s="108">
        <f>SUM(U307:U309)</f>
        <v>0</v>
      </c>
      <c r="W310" s="108">
        <f>SUM(W307:W309)</f>
        <v>0</v>
      </c>
      <c r="Y310" s="108">
        <f>SUM(Y307:Y309)</f>
        <v>0</v>
      </c>
      <c r="AA310" s="108">
        <f>SUM(AA307:AA309)</f>
        <v>0</v>
      </c>
      <c r="AC310" s="108">
        <f>SUM(AC307:AC309)</f>
        <v>0</v>
      </c>
      <c r="AE310" s="108">
        <f>SUM(AE307:AE309)</f>
        <v>0</v>
      </c>
      <c r="AG310" s="108">
        <f>SUM(AG307:AG309)</f>
        <v>0</v>
      </c>
      <c r="AI310" s="108">
        <f>SUM(AI307:AI309)</f>
        <v>0</v>
      </c>
    </row>
    <row r="312" ht="12.75">
      <c r="A312" s="83" t="s">
        <v>366</v>
      </c>
    </row>
    <row r="313" spans="1:35" ht="12.75">
      <c r="A313" s="24"/>
      <c r="B313" s="24" t="s">
        <v>367</v>
      </c>
      <c r="O313" s="212">
        <f>O279-O296</f>
        <v>-1.466013288541666</v>
      </c>
      <c r="Q313" s="212">
        <f>Q279-Q296</f>
        <v>-1.4660132885416672</v>
      </c>
      <c r="S313" s="212">
        <f>S279-S296</f>
        <v>-8.796079731249996</v>
      </c>
      <c r="U313" s="212">
        <f>U279-U296</f>
        <v>-8.79607973125</v>
      </c>
      <c r="W313" s="212">
        <f>W279-W296</f>
        <v>-8.796079731249996</v>
      </c>
      <c r="Y313" s="212">
        <f>Y279-Y296</f>
        <v>-8.796079731249996</v>
      </c>
      <c r="AA313" s="212">
        <f>AA279-AA296</f>
        <v>-7.439441442708329</v>
      </c>
      <c r="AC313" s="212">
        <f>AC279-AC296</f>
        <v>-0.65625</v>
      </c>
      <c r="AE313" s="212">
        <f>AE279-AE296</f>
        <v>-0.65625</v>
      </c>
      <c r="AG313" s="212">
        <f>AG279-AG296</f>
        <v>-0.546875</v>
      </c>
      <c r="AI313" s="212">
        <f>AI279-AI296</f>
        <v>0</v>
      </c>
    </row>
    <row r="315" spans="1:35" ht="12.75">
      <c r="A315" s="4" t="s">
        <v>52</v>
      </c>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ht="12.75">
      <c r="A316" s="3" t="str">
        <f>$A$2</f>
        <v>($ in millions, except per share data)</v>
      </c>
    </row>
    <row r="317" spans="17:35" ht="13.5" customHeight="1" thickBot="1">
      <c r="Q317" s="20" t="str">
        <f>"Projected Fiscal Years Ending "&amp;TEXT(fye,"mmmm dd")&amp;","</f>
        <v>Projected Fiscal Years Ending September 30,</v>
      </c>
      <c r="R317" s="20"/>
      <c r="S317" s="20"/>
      <c r="T317" s="20"/>
      <c r="U317" s="20"/>
      <c r="V317" s="20"/>
      <c r="W317" s="20"/>
      <c r="X317" s="20"/>
      <c r="Y317" s="20"/>
      <c r="Z317" s="20"/>
      <c r="AA317" s="20"/>
      <c r="AB317" s="20"/>
      <c r="AC317" s="20"/>
      <c r="AD317" s="20"/>
      <c r="AE317" s="20"/>
      <c r="AF317" s="20"/>
      <c r="AG317" s="20"/>
      <c r="AH317" s="20"/>
      <c r="AI317" s="20"/>
    </row>
    <row r="318" spans="17:35" ht="12.75">
      <c r="Q318" s="87">
        <v>1</v>
      </c>
      <c r="S318" s="81">
        <f>Q318+1</f>
        <v>2</v>
      </c>
      <c r="U318" s="81">
        <f>S318+1</f>
        <v>3</v>
      </c>
      <c r="W318" s="81">
        <f>U318+1</f>
        <v>4</v>
      </c>
      <c r="Y318" s="81">
        <f>W318+1</f>
        <v>5</v>
      </c>
      <c r="AA318" s="81">
        <f>Y318+1</f>
        <v>6</v>
      </c>
      <c r="AC318" s="81">
        <f>AA318+1</f>
        <v>7</v>
      </c>
      <c r="AE318" s="81">
        <f>AC318+1</f>
        <v>8</v>
      </c>
      <c r="AG318" s="81">
        <f>AE318+1</f>
        <v>9</v>
      </c>
      <c r="AI318" s="81">
        <f>AG318+1</f>
        <v>10</v>
      </c>
    </row>
    <row r="319" spans="17:35" ht="13.5" customHeight="1" thickBot="1">
      <c r="Q319" s="88">
        <f>'Target P&amp;L'!M5</f>
        <v>2008</v>
      </c>
      <c r="S319" s="82">
        <f>Q319+1</f>
        <v>2009</v>
      </c>
      <c r="U319" s="82">
        <f>S319+1</f>
        <v>2010</v>
      </c>
      <c r="W319" s="82">
        <f>U319+1</f>
        <v>2011</v>
      </c>
      <c r="Y319" s="82">
        <f>W319+1</f>
        <v>2012</v>
      </c>
      <c r="AA319" s="82">
        <f>Y319+1</f>
        <v>2013</v>
      </c>
      <c r="AC319" s="82">
        <f>AA319+1</f>
        <v>2014</v>
      </c>
      <c r="AE319" s="82">
        <f>AC319+1</f>
        <v>2015</v>
      </c>
      <c r="AG319" s="82">
        <f>AE319+1</f>
        <v>2016</v>
      </c>
      <c r="AI319" s="82">
        <f>AG319+1</f>
        <v>2017</v>
      </c>
    </row>
    <row r="320" ht="12.75">
      <c r="A320" s="83" t="s">
        <v>53</v>
      </c>
    </row>
    <row r="321" spans="2:35" ht="12.75">
      <c r="B321" s="84" t="s">
        <v>54</v>
      </c>
      <c r="Q321" s="35">
        <v>0.14</v>
      </c>
      <c r="S321" s="35">
        <v>0.045</v>
      </c>
      <c r="U321" s="35">
        <v>0.036</v>
      </c>
      <c r="W321" s="35">
        <v>0.024</v>
      </c>
      <c r="Y321" s="35">
        <v>0.024</v>
      </c>
      <c r="AA321" s="35">
        <v>0.024</v>
      </c>
      <c r="AC321" s="35">
        <v>0.024</v>
      </c>
      <c r="AE321" s="35">
        <v>0.024</v>
      </c>
      <c r="AG321" s="35">
        <v>0.024</v>
      </c>
      <c r="AI321" s="35">
        <v>0.024</v>
      </c>
    </row>
    <row r="322" spans="2:35" ht="12.75">
      <c r="B322" s="84" t="s">
        <v>55</v>
      </c>
      <c r="Q322" s="85">
        <f>'Target P&amp;L'!M8</f>
        <v>0.1381366459627329</v>
      </c>
      <c r="S322" s="85">
        <f>'Target P&amp;L'!O8</f>
        <v>0.0216110019646365</v>
      </c>
      <c r="U322" s="85">
        <f>'Target P&amp;L'!Q8</f>
        <v>0.005341880341880323</v>
      </c>
      <c r="W322" s="85">
        <f>'Target P&amp;L'!S8</f>
        <v>0.01</v>
      </c>
      <c r="Y322" s="85">
        <f>'Target P&amp;L'!U8</f>
        <v>0.01</v>
      </c>
      <c r="AA322" s="67">
        <f>Y322</f>
        <v>0.01</v>
      </c>
      <c r="AC322" s="67">
        <f>AA322</f>
        <v>0.01</v>
      </c>
      <c r="AE322" s="67">
        <f>AC322</f>
        <v>0.01</v>
      </c>
      <c r="AG322" s="67">
        <f>AE322</f>
        <v>0.01</v>
      </c>
      <c r="AI322" s="67">
        <f>AG322</f>
        <v>0.01</v>
      </c>
    </row>
    <row r="323" spans="2:35" ht="12.75">
      <c r="B323" s="84" t="s">
        <v>56</v>
      </c>
      <c r="Q323" s="35">
        <v>0.11</v>
      </c>
      <c r="S323" s="35">
        <v>0.02</v>
      </c>
      <c r="U323" s="35">
        <v>0.005</v>
      </c>
      <c r="W323" s="35">
        <v>0.005</v>
      </c>
      <c r="Y323" s="35">
        <v>0.005</v>
      </c>
      <c r="AA323" s="35">
        <v>0.005</v>
      </c>
      <c r="AC323" s="35">
        <v>0.005</v>
      </c>
      <c r="AE323" s="35">
        <v>0.005</v>
      </c>
      <c r="AG323" s="35">
        <v>0.005</v>
      </c>
      <c r="AI323" s="35">
        <v>0.005</v>
      </c>
    </row>
    <row r="324" spans="2:35" ht="4.5" customHeight="1">
      <c r="B324" s="84"/>
      <c r="Q324" s="35"/>
      <c r="S324" s="35"/>
      <c r="U324" s="35"/>
      <c r="W324" s="35"/>
      <c r="Y324" s="35"/>
      <c r="AA324" s="35"/>
      <c r="AC324" s="35"/>
      <c r="AE324" s="35"/>
      <c r="AG324" s="35"/>
      <c r="AI324" s="35"/>
    </row>
    <row r="325" spans="2:35" s="10" customFormat="1" ht="12.75">
      <c r="B325" s="10" t="str">
        <f ca="1">OFFSET(B320,op_case,0)</f>
        <v>Analyst Case</v>
      </c>
      <c r="Q325" s="90">
        <f ca="1">OFFSET(Q320,op_case,0)</f>
        <v>0.1381366459627329</v>
      </c>
      <c r="S325" s="90">
        <f ca="1">OFFSET(S320,op_case,0)</f>
        <v>0.0216110019646365</v>
      </c>
      <c r="U325" s="90">
        <f ca="1">OFFSET(U320,op_case,0)</f>
        <v>0.005341880341880323</v>
      </c>
      <c r="W325" s="90">
        <f ca="1">OFFSET(W320,op_case,0)</f>
        <v>0.01</v>
      </c>
      <c r="Y325" s="90">
        <f ca="1">OFFSET(Y320,op_case,0)</f>
        <v>0.01</v>
      </c>
      <c r="AA325" s="90">
        <f ca="1">OFFSET(AA320,op_case,0)</f>
        <v>0.01</v>
      </c>
      <c r="AC325" s="90">
        <f ca="1">OFFSET(AC320,op_case,0)</f>
        <v>0.01</v>
      </c>
      <c r="AE325" s="90">
        <f ca="1">OFFSET(AE320,op_case,0)</f>
        <v>0.01</v>
      </c>
      <c r="AG325" s="90">
        <f ca="1">OFFSET(AG320,op_case,0)</f>
        <v>0.01</v>
      </c>
      <c r="AI325" s="90">
        <f ca="1">OFFSET(AI320,op_case,0)</f>
        <v>0.01</v>
      </c>
    </row>
    <row r="327" spans="1:35" s="24" customFormat="1" ht="12.75">
      <c r="A327" s="83" t="s">
        <v>57</v>
      </c>
      <c r="Q327" s="86"/>
      <c r="S327" s="86"/>
      <c r="U327" s="86"/>
      <c r="W327" s="86"/>
      <c r="Y327" s="86"/>
      <c r="AA327" s="86"/>
      <c r="AC327" s="86"/>
      <c r="AE327" s="86"/>
      <c r="AG327" s="86"/>
      <c r="AI327" s="86"/>
    </row>
    <row r="328" spans="2:35" ht="12.75">
      <c r="B328" t="str">
        <f>B321</f>
        <v>Management Case</v>
      </c>
      <c r="Q328" s="35">
        <v>0.52</v>
      </c>
      <c r="S328" s="35">
        <v>0.515</v>
      </c>
      <c r="U328" s="35">
        <v>0.515</v>
      </c>
      <c r="W328" s="35">
        <v>0.51</v>
      </c>
      <c r="Y328" s="35">
        <v>0.51</v>
      </c>
      <c r="AA328" s="35">
        <v>0.51</v>
      </c>
      <c r="AC328" s="35">
        <v>0.51</v>
      </c>
      <c r="AE328" s="35">
        <v>0.51</v>
      </c>
      <c r="AG328" s="35">
        <v>0.51</v>
      </c>
      <c r="AI328" s="35">
        <v>0.51</v>
      </c>
    </row>
    <row r="329" spans="2:35" ht="12.75">
      <c r="B329" t="str">
        <f>B322</f>
        <v>Analyst Case</v>
      </c>
      <c r="Q329" s="85">
        <f>'Target P&amp;L'!M11</f>
        <v>0.5230299061340319</v>
      </c>
      <c r="S329" s="85">
        <f>'Target P&amp;L'!O11</f>
        <v>0.5337606837606838</v>
      </c>
      <c r="U329" s="85">
        <f>'Target P&amp;L'!Q11</f>
        <v>0.5360255047821466</v>
      </c>
      <c r="W329" s="85">
        <f>'Target P&amp;L'!S11</f>
        <v>0.5360255047821466</v>
      </c>
      <c r="Y329" s="85">
        <f>'Target P&amp;L'!U11</f>
        <v>0.5360255047821466</v>
      </c>
      <c r="AA329" s="67">
        <f>Y329</f>
        <v>0.5360255047821466</v>
      </c>
      <c r="AC329" s="67">
        <f>AA329</f>
        <v>0.5360255047821466</v>
      </c>
      <c r="AE329" s="67">
        <f>AC329</f>
        <v>0.5360255047821466</v>
      </c>
      <c r="AG329" s="67">
        <f>AE329</f>
        <v>0.5360255047821466</v>
      </c>
      <c r="AI329" s="67">
        <f>AG329</f>
        <v>0.5360255047821466</v>
      </c>
    </row>
    <row r="330" spans="2:35" ht="12.75">
      <c r="B330" t="str">
        <f>B323</f>
        <v>Downside Case</v>
      </c>
      <c r="Q330" s="35">
        <v>0.525</v>
      </c>
      <c r="S330" s="35">
        <v>0.539</v>
      </c>
      <c r="U330" s="35">
        <v>0.542</v>
      </c>
      <c r="W330" s="35">
        <v>0.545</v>
      </c>
      <c r="Y330" s="35">
        <v>0.545</v>
      </c>
      <c r="AA330" s="35">
        <v>0.545</v>
      </c>
      <c r="AC330" s="35">
        <v>0.545</v>
      </c>
      <c r="AE330" s="35">
        <v>0.545</v>
      </c>
      <c r="AG330" s="35">
        <v>0.545</v>
      </c>
      <c r="AI330" s="35">
        <v>0.545</v>
      </c>
    </row>
    <row r="331" ht="4.5" customHeight="1"/>
    <row r="332" spans="2:35" s="10" customFormat="1" ht="12.75">
      <c r="B332" s="10" t="str">
        <f ca="1">OFFSET(B327,op_case,0)</f>
        <v>Analyst Case</v>
      </c>
      <c r="Q332" s="90">
        <f ca="1">OFFSET(Q327,op_case,0)</f>
        <v>0.5230299061340319</v>
      </c>
      <c r="S332" s="90">
        <f ca="1">OFFSET(S327,op_case,0)</f>
        <v>0.5337606837606838</v>
      </c>
      <c r="U332" s="90">
        <f ca="1">OFFSET(U327,op_case,0)</f>
        <v>0.5360255047821466</v>
      </c>
      <c r="W332" s="90">
        <f ca="1">OFFSET(W327,op_case,0)</f>
        <v>0.5360255047821466</v>
      </c>
      <c r="Y332" s="90">
        <f ca="1">OFFSET(Y327,op_case,0)</f>
        <v>0.5360255047821466</v>
      </c>
      <c r="AA332" s="90">
        <f ca="1">OFFSET(AA327,op_case,0)</f>
        <v>0.5360255047821466</v>
      </c>
      <c r="AC332" s="90">
        <f ca="1">OFFSET(AC327,op_case,0)</f>
        <v>0.5360255047821466</v>
      </c>
      <c r="AE332" s="90">
        <f ca="1">OFFSET(AE327,op_case,0)</f>
        <v>0.5360255047821466</v>
      </c>
      <c r="AG332" s="90">
        <f ca="1">OFFSET(AG327,op_case,0)</f>
        <v>0.5360255047821466</v>
      </c>
      <c r="AI332" s="90">
        <f ca="1">OFFSET(AI327,op_case,0)</f>
        <v>0.5360255047821466</v>
      </c>
    </row>
    <row r="334" spans="1:35" s="24" customFormat="1" ht="12.75">
      <c r="A334" s="83" t="s">
        <v>58</v>
      </c>
      <c r="Q334" s="86"/>
      <c r="S334" s="86"/>
      <c r="U334" s="86"/>
      <c r="W334" s="86"/>
      <c r="Y334" s="86"/>
      <c r="AA334" s="86"/>
      <c r="AC334" s="86"/>
      <c r="AE334" s="86"/>
      <c r="AG334" s="86"/>
      <c r="AI334" s="86"/>
    </row>
    <row r="335" spans="2:35" ht="12.75">
      <c r="B335" t="str">
        <f>B328</f>
        <v>Management Case</v>
      </c>
      <c r="Q335" s="35">
        <v>0.19</v>
      </c>
      <c r="S335" s="35">
        <v>0.19</v>
      </c>
      <c r="U335" s="35">
        <v>0.189</v>
      </c>
      <c r="W335" s="35">
        <v>0.188</v>
      </c>
      <c r="Y335" s="35">
        <v>0.187</v>
      </c>
      <c r="AA335" s="35">
        <v>0.187</v>
      </c>
      <c r="AC335" s="35">
        <v>0.187</v>
      </c>
      <c r="AE335" s="35">
        <v>0.187</v>
      </c>
      <c r="AG335" s="35">
        <v>0.187</v>
      </c>
      <c r="AI335" s="35">
        <v>0.187</v>
      </c>
    </row>
    <row r="336" spans="2:35" ht="12.75">
      <c r="B336" t="str">
        <f>B329</f>
        <v>Analyst Case</v>
      </c>
      <c r="Q336" s="85">
        <f>'Target P&amp;L'!M16</f>
        <v>0.19275267408862692</v>
      </c>
      <c r="S336" s="85">
        <f>'Target P&amp;L'!O16</f>
        <v>0.19594017094017094</v>
      </c>
      <c r="U336" s="85">
        <f>'Target P&amp;L'!Q16</f>
        <v>0.19638682252922424</v>
      </c>
      <c r="W336" s="85">
        <f>'Target P&amp;L'!S16</f>
        <v>0.19638682252922424</v>
      </c>
      <c r="Y336" s="85">
        <f>'Target P&amp;L'!U16</f>
        <v>0.19638682252922424</v>
      </c>
      <c r="AA336" s="67">
        <f>Y336</f>
        <v>0.19638682252922424</v>
      </c>
      <c r="AC336" s="67">
        <f>AA336</f>
        <v>0.19638682252922424</v>
      </c>
      <c r="AE336" s="67">
        <f>AC336</f>
        <v>0.19638682252922424</v>
      </c>
      <c r="AG336" s="67">
        <f>AE336</f>
        <v>0.19638682252922424</v>
      </c>
      <c r="AI336" s="67">
        <f>AG336</f>
        <v>0.19638682252922424</v>
      </c>
    </row>
    <row r="337" spans="2:35" ht="12.75">
      <c r="B337" t="str">
        <f>B330</f>
        <v>Downside Case</v>
      </c>
      <c r="Q337" s="35">
        <v>0.196</v>
      </c>
      <c r="S337" s="35">
        <v>0.2</v>
      </c>
      <c r="U337" s="35">
        <v>0.202</v>
      </c>
      <c r="W337" s="35">
        <v>0.204</v>
      </c>
      <c r="Y337" s="35">
        <v>0.205</v>
      </c>
      <c r="AA337" s="35">
        <v>0.205</v>
      </c>
      <c r="AC337" s="35">
        <v>0.205</v>
      </c>
      <c r="AE337" s="35">
        <v>0.205</v>
      </c>
      <c r="AG337" s="35">
        <v>0.205</v>
      </c>
      <c r="AI337" s="35">
        <v>0.205</v>
      </c>
    </row>
    <row r="338" ht="4.5" customHeight="1"/>
    <row r="339" spans="2:35" s="10" customFormat="1" ht="12.75">
      <c r="B339" s="10" t="str">
        <f ca="1">OFFSET(B334,op_case,0)</f>
        <v>Analyst Case</v>
      </c>
      <c r="Q339" s="90">
        <f ca="1">OFFSET(Q334,op_case,0)</f>
        <v>0.19275267408862692</v>
      </c>
      <c r="S339" s="90">
        <f ca="1">OFFSET(S334,op_case,0)</f>
        <v>0.19594017094017094</v>
      </c>
      <c r="U339" s="90">
        <f ca="1">OFFSET(U334,op_case,0)</f>
        <v>0.19638682252922424</v>
      </c>
      <c r="W339" s="90">
        <f ca="1">OFFSET(W334,op_case,0)</f>
        <v>0.19638682252922424</v>
      </c>
      <c r="Y339" s="90">
        <f ca="1">OFFSET(Y334,op_case,0)</f>
        <v>0.19638682252922424</v>
      </c>
      <c r="AA339" s="90">
        <f ca="1">OFFSET(AA334,op_case,0)</f>
        <v>0.19638682252922424</v>
      </c>
      <c r="AC339" s="90">
        <f ca="1">OFFSET(AC334,op_case,0)</f>
        <v>0.19638682252922424</v>
      </c>
      <c r="AE339" s="90">
        <f ca="1">OFFSET(AE334,op_case,0)</f>
        <v>0.19638682252922424</v>
      </c>
      <c r="AG339" s="90">
        <f ca="1">OFFSET(AG334,op_case,0)</f>
        <v>0.19638682252922424</v>
      </c>
      <c r="AI339" s="90">
        <f ca="1">OFFSET(AI334,op_case,0)</f>
        <v>0.19638682252922424</v>
      </c>
    </row>
    <row r="341" ht="12.75">
      <c r="A341" s="83" t="s">
        <v>59</v>
      </c>
    </row>
    <row r="342" spans="2:35" ht="12.75">
      <c r="B342" t="str">
        <f>B335</f>
        <v>Management Case</v>
      </c>
      <c r="Q342" s="35">
        <v>0</v>
      </c>
      <c r="S342" s="35">
        <v>0</v>
      </c>
      <c r="U342" s="35">
        <v>0</v>
      </c>
      <c r="W342" s="35">
        <v>0</v>
      </c>
      <c r="Y342" s="35">
        <v>0</v>
      </c>
      <c r="AA342" s="35">
        <v>0</v>
      </c>
      <c r="AC342" s="35">
        <v>0</v>
      </c>
      <c r="AE342" s="35">
        <v>0</v>
      </c>
      <c r="AG342" s="35">
        <v>0</v>
      </c>
      <c r="AI342" s="35">
        <v>0</v>
      </c>
    </row>
    <row r="343" spans="2:35" ht="12.75">
      <c r="B343" t="str">
        <f>B336</f>
        <v>Analyst Case</v>
      </c>
      <c r="Q343" s="35">
        <v>0</v>
      </c>
      <c r="S343" s="35">
        <v>0</v>
      </c>
      <c r="U343" s="35">
        <v>0</v>
      </c>
      <c r="W343" s="35">
        <v>0</v>
      </c>
      <c r="Y343" s="35">
        <v>0</v>
      </c>
      <c r="AA343" s="35">
        <v>0</v>
      </c>
      <c r="AC343" s="35">
        <v>0</v>
      </c>
      <c r="AE343" s="35">
        <v>0</v>
      </c>
      <c r="AG343" s="35">
        <v>0</v>
      </c>
      <c r="AI343" s="35">
        <v>0</v>
      </c>
    </row>
    <row r="344" spans="2:35" ht="12.75">
      <c r="B344" t="str">
        <f>B337</f>
        <v>Downside Case</v>
      </c>
      <c r="Q344" s="35">
        <v>0</v>
      </c>
      <c r="S344" s="35">
        <v>0</v>
      </c>
      <c r="U344" s="35">
        <v>0</v>
      </c>
      <c r="W344" s="35">
        <v>0</v>
      </c>
      <c r="Y344" s="35">
        <v>0</v>
      </c>
      <c r="AA344" s="35">
        <v>0</v>
      </c>
      <c r="AC344" s="35">
        <v>0</v>
      </c>
      <c r="AE344" s="35">
        <v>0</v>
      </c>
      <c r="AG344" s="35">
        <v>0</v>
      </c>
      <c r="AI344" s="35">
        <v>0</v>
      </c>
    </row>
    <row r="345" ht="4.5" customHeight="1"/>
    <row r="346" spans="2:38" s="10" customFormat="1" ht="12.75">
      <c r="B346" s="10" t="str">
        <f ca="1">OFFSET(B341,op_case,0)</f>
        <v>Analyst Case</v>
      </c>
      <c r="Q346" s="90">
        <f ca="1">OFFSET(Q341,op_case,0)</f>
        <v>0</v>
      </c>
      <c r="S346" s="90">
        <f ca="1">OFFSET(S341,op_case,0)</f>
        <v>0</v>
      </c>
      <c r="U346" s="90">
        <f ca="1">OFFSET(U341,op_case,0)</f>
        <v>0</v>
      </c>
      <c r="W346" s="90">
        <f ca="1">OFFSET(W341,op_case,0)</f>
        <v>0</v>
      </c>
      <c r="Y346" s="90">
        <f ca="1">OFFSET(Y341,op_case,0)</f>
        <v>0</v>
      </c>
      <c r="AA346" s="90">
        <f ca="1">OFFSET(AA341,op_case,0)</f>
        <v>0</v>
      </c>
      <c r="AC346" s="90">
        <f ca="1">OFFSET(AC341,op_case,0)</f>
        <v>0</v>
      </c>
      <c r="AE346" s="90">
        <f ca="1">OFFSET(AE341,op_case,0)</f>
        <v>0</v>
      </c>
      <c r="AG346" s="90">
        <f ca="1">OFFSET(AG341,op_case,0)</f>
        <v>0</v>
      </c>
      <c r="AI346" s="90">
        <f ca="1">OFFSET(AI341,op_case,0)</f>
        <v>0</v>
      </c>
      <c r="AJ346"/>
      <c r="AK346"/>
      <c r="AL346"/>
    </row>
    <row r="348" spans="1:35" ht="12.75">
      <c r="A348" s="4" t="s">
        <v>192</v>
      </c>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ht="12.75">
      <c r="A349" s="3" t="str">
        <f>$A$2</f>
        <v>($ in millions, except per share data)</v>
      </c>
    </row>
    <row r="350" ht="12.75">
      <c r="S350" s="22" t="s">
        <v>193</v>
      </c>
    </row>
    <row r="351" spans="7:19" ht="13.5" customHeight="1" thickBot="1">
      <c r="G351" s="100" t="s">
        <v>194</v>
      </c>
      <c r="H351" s="100"/>
      <c r="I351" s="100"/>
      <c r="J351" s="100"/>
      <c r="K351" s="100"/>
      <c r="L351" s="100"/>
      <c r="M351" s="100"/>
      <c r="N351" s="100"/>
      <c r="O351" s="100"/>
      <c r="P351" s="100"/>
      <c r="Q351" s="100"/>
      <c r="S351" s="82" t="s">
        <v>195</v>
      </c>
    </row>
    <row r="352" spans="1:19" ht="12.75">
      <c r="A352" s="24" t="s">
        <v>195</v>
      </c>
      <c r="G352" s="138">
        <v>1</v>
      </c>
      <c r="H352" s="110"/>
      <c r="I352" s="139">
        <f>G352+1</f>
        <v>2</v>
      </c>
      <c r="J352" s="110"/>
      <c r="K352" s="139">
        <f>I352+1</f>
        <v>3</v>
      </c>
      <c r="L352" s="139"/>
      <c r="M352" s="139">
        <f>K352+1</f>
        <v>4</v>
      </c>
      <c r="N352" s="110"/>
      <c r="O352" s="139">
        <f>M352+1</f>
        <v>5</v>
      </c>
      <c r="P352" s="110"/>
      <c r="Q352" s="139">
        <f>O352+1</f>
        <v>6</v>
      </c>
      <c r="S352" s="140">
        <f>fin_case</f>
        <v>4</v>
      </c>
    </row>
    <row r="353" spans="1:38" s="141" customFormat="1" ht="12.75" customHeight="1">
      <c r="A353" s="5"/>
      <c r="B353" s="5"/>
      <c r="C353" s="5"/>
      <c r="D353" s="5"/>
      <c r="E353" s="5"/>
      <c r="G353" s="5"/>
      <c r="H353" s="5"/>
      <c r="I353" s="5"/>
      <c r="J353" s="5"/>
      <c r="K353" s="5"/>
      <c r="L353" s="5"/>
      <c r="M353" s="5"/>
      <c r="N353" s="5"/>
      <c r="O353" s="5"/>
      <c r="P353" s="5"/>
      <c r="Q353" s="5"/>
      <c r="R353" s="5"/>
      <c r="S353" s="5"/>
      <c r="T353" s="5"/>
      <c r="X353" s="5"/>
      <c r="Y353" s="5"/>
      <c r="Z353" s="5"/>
      <c r="AA353" s="5"/>
      <c r="AB353" s="5"/>
      <c r="AC353" s="5"/>
      <c r="AD353" s="5"/>
      <c r="AE353" s="5"/>
      <c r="AF353" s="5"/>
      <c r="AG353" s="5"/>
      <c r="AH353" s="5"/>
      <c r="AI353" s="5"/>
      <c r="AJ353" s="5"/>
      <c r="AK353" s="5"/>
      <c r="AL353" s="5"/>
    </row>
    <row r="354" spans="1:38" ht="12.75">
      <c r="A354" s="142" t="s">
        <v>196</v>
      </c>
      <c r="C354" s="141"/>
      <c r="D354" s="141"/>
      <c r="E354" s="141"/>
      <c r="G354" s="143" t="s">
        <v>197</v>
      </c>
      <c r="H354" s="143"/>
      <c r="I354" s="143" t="s">
        <v>198</v>
      </c>
      <c r="J354" s="143"/>
      <c r="K354" s="143" t="s">
        <v>199</v>
      </c>
      <c r="L354" s="143"/>
      <c r="M354" s="143" t="s">
        <v>200</v>
      </c>
      <c r="N354" s="143"/>
      <c r="O354" s="143" t="s">
        <v>201</v>
      </c>
      <c r="P354" s="143"/>
      <c r="Q354" s="143" t="s">
        <v>202</v>
      </c>
      <c r="R354" s="143"/>
      <c r="S354" s="143" t="str">
        <f ca="1">OFFSET(E354,0,$S$352*2)</f>
        <v>LBO A</v>
      </c>
      <c r="T354" s="141"/>
      <c r="X354" s="141"/>
      <c r="Y354" s="141"/>
      <c r="Z354" s="141"/>
      <c r="AA354" s="141"/>
      <c r="AB354" s="141"/>
      <c r="AC354" s="141"/>
      <c r="AD354" s="141"/>
      <c r="AE354" s="141"/>
      <c r="AF354" s="141"/>
      <c r="AG354" s="141"/>
      <c r="AH354" s="141"/>
      <c r="AI354" s="141"/>
      <c r="AJ354" s="141"/>
      <c r="AK354" s="141"/>
      <c r="AL354" s="141"/>
    </row>
    <row r="356" ht="12.75" customHeight="1">
      <c r="A356" s="83" t="s">
        <v>204</v>
      </c>
    </row>
    <row r="357" spans="2:19" ht="12.75" customHeight="1">
      <c r="B357" t="s">
        <v>206</v>
      </c>
      <c r="G357" s="144">
        <v>0</v>
      </c>
      <c r="H357" s="76"/>
      <c r="I357" s="77">
        <v>0</v>
      </c>
      <c r="J357" s="76"/>
      <c r="K357" s="77">
        <v>0</v>
      </c>
      <c r="L357" s="76"/>
      <c r="M357" s="74">
        <f>I120-min_cash</f>
        <v>116.606</v>
      </c>
      <c r="N357" s="76"/>
      <c r="O357" s="74">
        <f>M357</f>
        <v>116.606</v>
      </c>
      <c r="P357" s="76"/>
      <c r="Q357" s="74">
        <f>O357</f>
        <v>116.606</v>
      </c>
      <c r="S357" s="136">
        <f aca="true" ca="1" t="shared" si="31" ref="S357:S372">OFFSET(E357,0,$S$352*2)</f>
        <v>116.606</v>
      </c>
    </row>
    <row r="358" spans="2:19" ht="12.75" customHeight="1">
      <c r="B358" t="s">
        <v>207</v>
      </c>
      <c r="G358" s="43">
        <v>0</v>
      </c>
      <c r="I358" s="146">
        <f>I379</f>
        <v>230</v>
      </c>
      <c r="J358" s="37"/>
      <c r="K358" s="146">
        <f>K379</f>
        <v>230</v>
      </c>
      <c r="L358" s="37"/>
      <c r="M358" s="146">
        <f>M379</f>
        <v>230</v>
      </c>
      <c r="N358" s="37"/>
      <c r="O358" s="146">
        <f>O379</f>
        <v>230</v>
      </c>
      <c r="P358" s="37"/>
      <c r="Q358" s="146">
        <f>Q379</f>
        <v>230</v>
      </c>
      <c r="S358" s="146">
        <f ca="1" t="shared" si="31"/>
        <v>230</v>
      </c>
    </row>
    <row r="359" spans="2:19" ht="12.75" customHeight="1">
      <c r="B359" t="s">
        <v>223</v>
      </c>
      <c r="G359" s="43">
        <v>0</v>
      </c>
      <c r="H359" s="37"/>
      <c r="I359" s="146">
        <f>I382</f>
        <v>0</v>
      </c>
      <c r="J359" s="37"/>
      <c r="K359" s="146">
        <f>K382</f>
        <v>0</v>
      </c>
      <c r="L359" s="37"/>
      <c r="M359" s="146">
        <f>M382</f>
        <v>0</v>
      </c>
      <c r="N359" s="37"/>
      <c r="O359" s="146">
        <f>O382</f>
        <v>0</v>
      </c>
      <c r="P359" s="37"/>
      <c r="Q359" s="146">
        <f>Q382</f>
        <v>0</v>
      </c>
      <c r="S359" s="146">
        <f ca="1" t="shared" si="31"/>
        <v>0</v>
      </c>
    </row>
    <row r="360" spans="2:19" ht="12.75">
      <c r="B360" t="s">
        <v>182</v>
      </c>
      <c r="G360" s="43">
        <v>0</v>
      </c>
      <c r="H360" s="37"/>
      <c r="I360" s="43">
        <v>0</v>
      </c>
      <c r="J360" s="37"/>
      <c r="K360" s="43">
        <v>0</v>
      </c>
      <c r="L360" s="37"/>
      <c r="M360" s="43">
        <v>0</v>
      </c>
      <c r="N360" s="37"/>
      <c r="O360" s="43">
        <v>0</v>
      </c>
      <c r="P360" s="37"/>
      <c r="Q360" s="43">
        <v>0</v>
      </c>
      <c r="S360" s="146">
        <f ca="1" t="shared" si="31"/>
        <v>0</v>
      </c>
    </row>
    <row r="361" spans="2:19" ht="12.75">
      <c r="B361" s="84" t="s">
        <v>183</v>
      </c>
      <c r="C361" s="84"/>
      <c r="G361" s="43">
        <v>0</v>
      </c>
      <c r="H361" s="37"/>
      <c r="I361" s="39">
        <f>I387-SUM(I362:I372,I357:I360)</f>
        <v>-29.209183673469397</v>
      </c>
      <c r="J361" s="37"/>
      <c r="K361" s="39">
        <f>K387-SUM(K362:K372,K357:K360)</f>
        <v>-73.9795918367347</v>
      </c>
      <c r="L361" s="37"/>
      <c r="M361" s="38">
        <v>150</v>
      </c>
      <c r="N361" s="37"/>
      <c r="O361" s="38">
        <v>0</v>
      </c>
      <c r="P361" s="37"/>
      <c r="Q361" s="38">
        <v>50</v>
      </c>
      <c r="S361" s="146">
        <f ca="1" t="shared" si="31"/>
        <v>150</v>
      </c>
    </row>
    <row r="362" spans="2:19" ht="12.75">
      <c r="B362" s="84" t="s">
        <v>184</v>
      </c>
      <c r="C362" s="84"/>
      <c r="G362" s="43">
        <v>0</v>
      </c>
      <c r="H362" s="37"/>
      <c r="I362" s="38">
        <v>0</v>
      </c>
      <c r="J362" s="37"/>
      <c r="K362" s="38">
        <v>0</v>
      </c>
      <c r="L362" s="37"/>
      <c r="M362" s="38">
        <v>0</v>
      </c>
      <c r="N362" s="37"/>
      <c r="O362" s="38">
        <v>75</v>
      </c>
      <c r="P362" s="37"/>
      <c r="Q362" s="38">
        <v>0</v>
      </c>
      <c r="S362" s="146">
        <f ca="1" t="shared" si="31"/>
        <v>0</v>
      </c>
    </row>
    <row r="363" spans="2:19" ht="12.75">
      <c r="B363" s="84" t="s">
        <v>185</v>
      </c>
      <c r="C363" s="84"/>
      <c r="G363" s="43">
        <v>0</v>
      </c>
      <c r="H363" s="37"/>
      <c r="I363" s="38">
        <v>50</v>
      </c>
      <c r="J363" s="37"/>
      <c r="K363" s="38">
        <v>100</v>
      </c>
      <c r="L363" s="37"/>
      <c r="M363" s="38">
        <v>75</v>
      </c>
      <c r="N363" s="37"/>
      <c r="O363" s="38">
        <v>100</v>
      </c>
      <c r="P363" s="37"/>
      <c r="Q363" s="38">
        <v>100</v>
      </c>
      <c r="S363" s="146">
        <f ca="1" t="shared" si="31"/>
        <v>75</v>
      </c>
    </row>
    <row r="364" spans="2:19" ht="12.75">
      <c r="B364" s="84" t="s">
        <v>186</v>
      </c>
      <c r="C364" s="84"/>
      <c r="G364" s="43">
        <v>0</v>
      </c>
      <c r="H364" s="37"/>
      <c r="I364" s="43">
        <v>0</v>
      </c>
      <c r="J364" s="37"/>
      <c r="K364" s="43">
        <v>0</v>
      </c>
      <c r="L364" s="37"/>
      <c r="M364" s="43">
        <v>0</v>
      </c>
      <c r="N364" s="37"/>
      <c r="O364" s="43">
        <v>0</v>
      </c>
      <c r="P364" s="37"/>
      <c r="Q364" s="43">
        <v>50</v>
      </c>
      <c r="S364" s="146">
        <f ca="1" t="shared" si="31"/>
        <v>0</v>
      </c>
    </row>
    <row r="365" spans="2:19" ht="12.75">
      <c r="B365" s="84" t="s">
        <v>187</v>
      </c>
      <c r="C365" s="84"/>
      <c r="G365" s="43">
        <v>0</v>
      </c>
      <c r="H365" s="37"/>
      <c r="I365" s="43">
        <v>0</v>
      </c>
      <c r="J365" s="37"/>
      <c r="K365" s="43">
        <v>0</v>
      </c>
      <c r="L365" s="37"/>
      <c r="M365" s="43">
        <v>0</v>
      </c>
      <c r="N365" s="37"/>
      <c r="O365" s="43">
        <v>0</v>
      </c>
      <c r="P365" s="37"/>
      <c r="Q365" s="43">
        <v>0</v>
      </c>
      <c r="S365" s="146">
        <f ca="1" t="shared" si="31"/>
        <v>0</v>
      </c>
    </row>
    <row r="366" spans="2:19" ht="12.75">
      <c r="B366" s="84" t="s">
        <v>188</v>
      </c>
      <c r="C366" s="84"/>
      <c r="G366" s="43">
        <v>0</v>
      </c>
      <c r="H366" s="37"/>
      <c r="I366" s="43">
        <v>0</v>
      </c>
      <c r="J366" s="37"/>
      <c r="K366" s="43">
        <v>0</v>
      </c>
      <c r="L366" s="37"/>
      <c r="M366" s="43">
        <v>0</v>
      </c>
      <c r="N366" s="37"/>
      <c r="O366" s="43">
        <v>0</v>
      </c>
      <c r="P366" s="37"/>
      <c r="Q366" s="43">
        <v>0</v>
      </c>
      <c r="S366" s="146">
        <f ca="1" t="shared" si="31"/>
        <v>0</v>
      </c>
    </row>
    <row r="367" spans="2:19" ht="12.75">
      <c r="B367" s="84" t="s">
        <v>189</v>
      </c>
      <c r="C367" s="84"/>
      <c r="G367" s="43">
        <v>0</v>
      </c>
      <c r="H367" s="37"/>
      <c r="I367" s="43">
        <v>0</v>
      </c>
      <c r="J367" s="37"/>
      <c r="K367" s="43">
        <v>0</v>
      </c>
      <c r="L367" s="37"/>
      <c r="M367" s="43">
        <v>10</v>
      </c>
      <c r="N367" s="37"/>
      <c r="O367" s="43">
        <v>75</v>
      </c>
      <c r="P367" s="37"/>
      <c r="Q367" s="43">
        <v>0</v>
      </c>
      <c r="S367" s="146">
        <f ca="1" t="shared" si="31"/>
        <v>10</v>
      </c>
    </row>
    <row r="368" spans="2:19" ht="12.75">
      <c r="B368" s="84" t="s">
        <v>190</v>
      </c>
      <c r="C368" s="84"/>
      <c r="G368" s="43">
        <v>0</v>
      </c>
      <c r="H368" s="37"/>
      <c r="I368" s="43">
        <v>0</v>
      </c>
      <c r="J368" s="37"/>
      <c r="K368" s="43">
        <v>0</v>
      </c>
      <c r="L368" s="37"/>
      <c r="M368" s="43">
        <v>0</v>
      </c>
      <c r="N368" s="37"/>
      <c r="O368" s="43">
        <v>0</v>
      </c>
      <c r="P368" s="37"/>
      <c r="Q368" s="43">
        <v>0</v>
      </c>
      <c r="S368" s="146">
        <f ca="1" t="shared" si="31"/>
        <v>0</v>
      </c>
    </row>
    <row r="369" spans="2:19" ht="12.75">
      <c r="B369" t="s">
        <v>208</v>
      </c>
      <c r="G369" s="43">
        <v>0</v>
      </c>
      <c r="I369" s="43">
        <v>0</v>
      </c>
      <c r="K369" s="43">
        <v>0</v>
      </c>
      <c r="M369" s="147">
        <f>M387-SUM(M370:M372,M357:M368)</f>
        <v>233.6364471574999</v>
      </c>
      <c r="O369" s="147">
        <f>O387-SUM(O370:O372,O357:O368)</f>
        <v>217.5114471574999</v>
      </c>
      <c r="Q369" s="147">
        <f>Q387-SUM(Q370:Q372,Q357:Q368)</f>
        <v>248.6989471574999</v>
      </c>
      <c r="S369" s="146">
        <f ca="1" t="shared" si="31"/>
        <v>233.6364471574999</v>
      </c>
    </row>
    <row r="370" spans="2:19" ht="12.75">
      <c r="B370" t="s">
        <v>209</v>
      </c>
      <c r="G370" s="43">
        <v>0</v>
      </c>
      <c r="I370" s="43">
        <v>0</v>
      </c>
      <c r="K370" s="43">
        <v>0</v>
      </c>
      <c r="M370" s="43">
        <v>0</v>
      </c>
      <c r="O370" s="43">
        <v>0</v>
      </c>
      <c r="Q370" s="43">
        <v>20</v>
      </c>
      <c r="S370" s="146">
        <f ca="1" t="shared" si="31"/>
        <v>0</v>
      </c>
    </row>
    <row r="371" spans="2:19" ht="12.75">
      <c r="B371" t="s">
        <v>210</v>
      </c>
      <c r="G371" s="43">
        <v>0</v>
      </c>
      <c r="I371" s="43">
        <v>0</v>
      </c>
      <c r="K371" s="43">
        <v>0</v>
      </c>
      <c r="M371" s="43">
        <v>0</v>
      </c>
      <c r="O371" s="43">
        <v>0</v>
      </c>
      <c r="Q371" s="43">
        <v>0</v>
      </c>
      <c r="S371" s="146">
        <f ca="1" t="shared" si="31"/>
        <v>0</v>
      </c>
    </row>
    <row r="372" spans="2:19" ht="13.5" customHeight="1" thickBot="1">
      <c r="B372" t="s">
        <v>66</v>
      </c>
      <c r="G372" s="43">
        <v>0</v>
      </c>
      <c r="I372" s="43">
        <v>0</v>
      </c>
      <c r="K372" s="43">
        <v>0</v>
      </c>
      <c r="M372" s="43">
        <v>0</v>
      </c>
      <c r="O372" s="43">
        <v>0</v>
      </c>
      <c r="Q372" s="43">
        <v>0</v>
      </c>
      <c r="S372" s="146">
        <f ca="1" t="shared" si="31"/>
        <v>0</v>
      </c>
    </row>
    <row r="373" spans="3:19" ht="13.5" customHeight="1" thickBot="1">
      <c r="C373" s="10" t="s">
        <v>205</v>
      </c>
      <c r="G373" s="106">
        <f>SUM(G357:G372)</f>
        <v>0</v>
      </c>
      <c r="I373" s="106">
        <f>SUM(I357:I372)</f>
        <v>250.7908163265306</v>
      </c>
      <c r="K373" s="106">
        <f>SUM(K357:K372)</f>
        <v>256.0204081632653</v>
      </c>
      <c r="M373" s="106">
        <f>SUM(M357:M372)</f>
        <v>815.2424471574999</v>
      </c>
      <c r="O373" s="106">
        <f>SUM(O357:O372)</f>
        <v>814.1174471574999</v>
      </c>
      <c r="Q373" s="106">
        <f>SUM(Q357:Q372)</f>
        <v>815.3049471574999</v>
      </c>
      <c r="S373" s="148">
        <f>SUM(S357:S372)</f>
        <v>815.2424471574999</v>
      </c>
    </row>
    <row r="374" ht="13.5" thickTop="1"/>
    <row r="375" spans="1:38" s="76" customFormat="1" ht="12.75" customHeight="1">
      <c r="A375" s="83" t="s">
        <v>211</v>
      </c>
      <c r="B375" s="5"/>
      <c r="C375" s="5"/>
      <c r="D375" s="5"/>
      <c r="E375" s="5"/>
      <c r="F375" s="5"/>
      <c r="G375" s="5"/>
      <c r="H375" s="5"/>
      <c r="I375" s="5"/>
      <c r="J375" s="5"/>
      <c r="K375" s="5"/>
      <c r="L375" s="5"/>
      <c r="M375" s="5"/>
      <c r="N375" s="5"/>
      <c r="O375" s="5"/>
      <c r="P375" s="5"/>
      <c r="Q375" s="5"/>
      <c r="R375" s="5"/>
      <c r="S375" s="5"/>
      <c r="T375" s="5"/>
      <c r="X375" s="5"/>
      <c r="Y375" s="5"/>
      <c r="Z375" s="5"/>
      <c r="AA375" s="5"/>
      <c r="AB375" s="5"/>
      <c r="AC375" s="5"/>
      <c r="AD375" s="5"/>
      <c r="AE375" s="5"/>
      <c r="AF375" s="5"/>
      <c r="AG375" s="5"/>
      <c r="AH375" s="5"/>
      <c r="AI375" s="5"/>
      <c r="AJ375" s="5"/>
      <c r="AK375" s="5"/>
      <c r="AL375" s="5"/>
    </row>
    <row r="376" spans="1:38" ht="12.75" customHeight="1">
      <c r="A376" s="76"/>
      <c r="B376" s="76" t="s">
        <v>217</v>
      </c>
      <c r="C376" s="76"/>
      <c r="D376" s="76"/>
      <c r="F376" s="76"/>
      <c r="G376" s="144">
        <v>0</v>
      </c>
      <c r="H376" s="76"/>
      <c r="I376" s="77">
        <v>0</v>
      </c>
      <c r="J376" s="76"/>
      <c r="K376" s="77">
        <v>0</v>
      </c>
      <c r="L376" s="76"/>
      <c r="M376" s="74">
        <f>Y11</f>
        <v>562.9861275</v>
      </c>
      <c r="N376" s="76"/>
      <c r="O376" s="74">
        <f>M376</f>
        <v>562.9861275</v>
      </c>
      <c r="P376" s="76"/>
      <c r="Q376" s="74">
        <f>O376</f>
        <v>562.9861275</v>
      </c>
      <c r="R376" s="76"/>
      <c r="S376" s="136">
        <f aca="true" ca="1" t="shared" si="32" ref="S376:S386">OFFSET(E376,0,$S$352*2)</f>
        <v>562.9861275</v>
      </c>
      <c r="T376" s="76"/>
      <c r="X376" s="76"/>
      <c r="Y376" s="76"/>
      <c r="Z376" s="76"/>
      <c r="AA376" s="76"/>
      <c r="AB376" s="76"/>
      <c r="AC376" s="76"/>
      <c r="AD376" s="76"/>
      <c r="AE376" s="76"/>
      <c r="AF376" s="76"/>
      <c r="AG376" s="76"/>
      <c r="AH376" s="76"/>
      <c r="AI376" s="76"/>
      <c r="AJ376" s="76"/>
      <c r="AK376" s="76"/>
      <c r="AL376" s="76"/>
    </row>
    <row r="377" spans="2:29" ht="12.75" customHeight="1">
      <c r="B377" s="76" t="s">
        <v>210</v>
      </c>
      <c r="G377" s="43">
        <v>0</v>
      </c>
      <c r="I377" s="43">
        <v>0</v>
      </c>
      <c r="J377" s="37"/>
      <c r="K377" s="43">
        <v>0</v>
      </c>
      <c r="L377" s="37"/>
      <c r="M377" s="43">
        <v>0</v>
      </c>
      <c r="N377" s="37"/>
      <c r="O377" s="43">
        <v>0</v>
      </c>
      <c r="P377" s="37"/>
      <c r="Q377" s="43">
        <v>0</v>
      </c>
      <c r="S377" s="146">
        <f ca="1" t="shared" si="32"/>
        <v>0</v>
      </c>
      <c r="Y377" s="60"/>
      <c r="AC377" s="60"/>
    </row>
    <row r="378" spans="2:29" ht="12.75">
      <c r="B378" s="76" t="s">
        <v>218</v>
      </c>
      <c r="G378" s="43">
        <v>0</v>
      </c>
      <c r="I378" s="38">
        <v>10</v>
      </c>
      <c r="J378" s="37"/>
      <c r="K378" s="38">
        <v>15</v>
      </c>
      <c r="L378" s="37"/>
      <c r="M378" s="38">
        <v>0</v>
      </c>
      <c r="N378" s="37"/>
      <c r="O378" s="38">
        <v>0</v>
      </c>
      <c r="P378" s="37"/>
      <c r="Q378" s="38">
        <v>0</v>
      </c>
      <c r="S378" s="146">
        <f ca="1" t="shared" si="32"/>
        <v>0</v>
      </c>
      <c r="Y378" s="60"/>
      <c r="AC378" s="60"/>
    </row>
    <row r="379" spans="2:19" ht="12.75">
      <c r="B379" s="76" t="s">
        <v>219</v>
      </c>
      <c r="G379" s="43">
        <v>0</v>
      </c>
      <c r="I379" s="39">
        <f>(I140+I152)*(1-refi)</f>
        <v>230</v>
      </c>
      <c r="J379" s="37"/>
      <c r="K379" s="39">
        <f>I379</f>
        <v>230</v>
      </c>
      <c r="L379" s="37"/>
      <c r="M379" s="39">
        <f>K379</f>
        <v>230</v>
      </c>
      <c r="N379" s="37"/>
      <c r="O379" s="39">
        <f>M379</f>
        <v>230</v>
      </c>
      <c r="P379" s="37"/>
      <c r="Q379" s="39">
        <f>O379</f>
        <v>230</v>
      </c>
      <c r="S379" s="146">
        <f ca="1" t="shared" si="32"/>
        <v>230</v>
      </c>
    </row>
    <row r="380" spans="2:19" ht="12.75">
      <c r="B380" s="76" t="s">
        <v>212</v>
      </c>
      <c r="G380" s="43">
        <v>0</v>
      </c>
      <c r="I380" s="39">
        <f>(I140+I152)*refi</f>
        <v>0</v>
      </c>
      <c r="J380" s="37"/>
      <c r="K380" s="39">
        <f>I380</f>
        <v>0</v>
      </c>
      <c r="L380" s="37"/>
      <c r="M380" s="39">
        <f>K380</f>
        <v>0</v>
      </c>
      <c r="N380" s="37"/>
      <c r="O380" s="39">
        <f>M380</f>
        <v>0</v>
      </c>
      <c r="P380" s="37"/>
      <c r="Q380" s="39">
        <f>O380</f>
        <v>0</v>
      </c>
      <c r="S380" s="146">
        <f ca="1" t="shared" si="32"/>
        <v>0</v>
      </c>
    </row>
    <row r="381" spans="2:19" ht="12.75">
      <c r="B381" s="76" t="s">
        <v>213</v>
      </c>
      <c r="G381" s="43">
        <v>0</v>
      </c>
      <c r="I381" s="43">
        <v>0</v>
      </c>
      <c r="J381" s="37"/>
      <c r="K381" s="43">
        <v>0</v>
      </c>
      <c r="L381" s="37"/>
      <c r="M381" s="43">
        <v>0</v>
      </c>
      <c r="N381" s="37"/>
      <c r="O381" s="43">
        <v>0</v>
      </c>
      <c r="P381" s="37"/>
      <c r="Q381" s="43">
        <v>0</v>
      </c>
      <c r="S381" s="146">
        <f ca="1" t="shared" si="32"/>
        <v>0</v>
      </c>
    </row>
    <row r="382" spans="2:19" ht="12.75">
      <c r="B382" s="76" t="s">
        <v>221</v>
      </c>
      <c r="G382" s="43">
        <v>0</v>
      </c>
      <c r="I382" s="43">
        <v>0</v>
      </c>
      <c r="J382" s="37"/>
      <c r="K382" s="37">
        <f>I382</f>
        <v>0</v>
      </c>
      <c r="L382" s="37"/>
      <c r="M382" s="39">
        <f>L360</f>
        <v>0</v>
      </c>
      <c r="N382" s="37"/>
      <c r="O382" s="39">
        <f>N360</f>
        <v>0</v>
      </c>
      <c r="P382" s="37"/>
      <c r="Q382" s="39">
        <f>P360</f>
        <v>0</v>
      </c>
      <c r="S382" s="146">
        <f ca="1" t="shared" si="32"/>
        <v>0</v>
      </c>
    </row>
    <row r="383" spans="2:19" ht="12.75">
      <c r="B383" s="76" t="s">
        <v>222</v>
      </c>
      <c r="G383" s="43">
        <v>0</v>
      </c>
      <c r="I383" s="39">
        <f>I163</f>
        <v>0</v>
      </c>
      <c r="J383" s="37"/>
      <c r="K383" s="39">
        <f>I383</f>
        <v>0</v>
      </c>
      <c r="L383" s="37"/>
      <c r="M383" s="39">
        <f>K383</f>
        <v>0</v>
      </c>
      <c r="N383" s="37"/>
      <c r="O383" s="39">
        <f>M383</f>
        <v>0</v>
      </c>
      <c r="P383" s="37"/>
      <c r="Q383" s="39">
        <f>O383</f>
        <v>0</v>
      </c>
      <c r="S383" s="146">
        <f ca="1" t="shared" si="32"/>
        <v>0</v>
      </c>
    </row>
    <row r="384" spans="2:19" ht="12.75">
      <c r="B384" s="76" t="s">
        <v>214</v>
      </c>
      <c r="G384" s="43">
        <v>0</v>
      </c>
      <c r="I384" s="39">
        <f>I376*$G398+I376*$G397+SUM($S$410:$S$414)</f>
        <v>8.5</v>
      </c>
      <c r="J384" s="37"/>
      <c r="K384" s="39">
        <f>K376*$G398+K376*$G397+SUM($S$410:$S$414)</f>
        <v>8.5</v>
      </c>
      <c r="L384" s="37"/>
      <c r="M384" s="39">
        <f>M376*$G398+M376*$G397+SUM($S$410:$S$414)</f>
        <v>15.818819657499999</v>
      </c>
      <c r="N384" s="37"/>
      <c r="O384" s="39">
        <f>O376*$G398+O376*$G397+SUM($S$410:$S$414)</f>
        <v>15.818819657499999</v>
      </c>
      <c r="P384" s="37"/>
      <c r="Q384" s="39">
        <f>Q376*$G398+Q376*$G397+SUM($S$410:$S$414)</f>
        <v>15.818819657499999</v>
      </c>
      <c r="S384" s="146">
        <f ca="1" t="shared" si="32"/>
        <v>15.818819657499999</v>
      </c>
    </row>
    <row r="385" spans="2:29" ht="12.75">
      <c r="B385" t="s">
        <v>88</v>
      </c>
      <c r="G385" s="38">
        <v>0</v>
      </c>
      <c r="I385" s="39">
        <f>$S$400+SUMPRODUCT(I361:I366,$G401:$G406)</f>
        <v>2.2908163265306123</v>
      </c>
      <c r="J385" s="37"/>
      <c r="K385" s="39">
        <f>$S$400+SUMPRODUCT(K361:K366,$G401:$G406)</f>
        <v>2.520408163265306</v>
      </c>
      <c r="L385" s="37"/>
      <c r="M385" s="39">
        <f>$S$400+SUMPRODUCT(M361:M366,$G401:$G406)</f>
        <v>6.4375</v>
      </c>
      <c r="N385" s="37"/>
      <c r="O385" s="39">
        <f>$S$400+SUMPRODUCT(O361:O366,$G401:$G406)</f>
        <v>5.3125</v>
      </c>
      <c r="P385" s="37"/>
      <c r="Q385" s="39">
        <f>$S$400+SUMPRODUCT(Q361:Q366,$G401:$G406)</f>
        <v>6.5</v>
      </c>
      <c r="S385" s="146">
        <f ca="1" t="shared" si="32"/>
        <v>6.4375</v>
      </c>
      <c r="Y385" s="149"/>
      <c r="AC385" s="149"/>
    </row>
    <row r="386" spans="2:19" ht="13.5" customHeight="1" thickBot="1">
      <c r="B386" s="76" t="s">
        <v>66</v>
      </c>
      <c r="G386" s="43">
        <v>0</v>
      </c>
      <c r="I386" s="37">
        <f>G386</f>
        <v>0</v>
      </c>
      <c r="J386" s="37"/>
      <c r="K386" s="37">
        <f>I386</f>
        <v>0</v>
      </c>
      <c r="L386" s="37"/>
      <c r="M386" s="37">
        <f>K386</f>
        <v>0</v>
      </c>
      <c r="N386" s="37"/>
      <c r="O386" s="37">
        <f>M386</f>
        <v>0</v>
      </c>
      <c r="P386" s="37"/>
      <c r="Q386" s="37">
        <f>O386</f>
        <v>0</v>
      </c>
      <c r="S386" s="146">
        <f ca="1" t="shared" si="32"/>
        <v>0</v>
      </c>
    </row>
    <row r="387" spans="3:19" ht="13.5" customHeight="1" thickBot="1">
      <c r="C387" s="10" t="s">
        <v>215</v>
      </c>
      <c r="G387" s="106">
        <f>SUM(G376:G386)</f>
        <v>0</v>
      </c>
      <c r="I387" s="106">
        <f>SUM(I376:I386)</f>
        <v>250.7908163265306</v>
      </c>
      <c r="K387" s="106">
        <f>SUM(K376:K386)</f>
        <v>256.0204081632653</v>
      </c>
      <c r="M387" s="106">
        <f>SUM(M376:M386)</f>
        <v>815.2424471574999</v>
      </c>
      <c r="O387" s="106">
        <f>SUM(O376:O386)</f>
        <v>814.1174471574999</v>
      </c>
      <c r="Q387" s="106">
        <f>SUM(Q376:Q386)</f>
        <v>815.3049471574999</v>
      </c>
      <c r="S387" s="106">
        <f>SUM(S376:S386)</f>
        <v>815.2424471574999</v>
      </c>
    </row>
    <row r="388" spans="7:19" ht="13.5" customHeight="1" thickTop="1">
      <c r="G388" s="47"/>
      <c r="I388" s="47"/>
      <c r="K388" s="47"/>
      <c r="M388" s="47"/>
      <c r="O388" s="47"/>
      <c r="Q388" s="47"/>
      <c r="S388" s="47"/>
    </row>
    <row r="389" spans="1:19" ht="12.75">
      <c r="A389" t="s">
        <v>216</v>
      </c>
      <c r="G389" s="150">
        <v>0</v>
      </c>
      <c r="H389" s="151"/>
      <c r="I389" s="150">
        <v>0</v>
      </c>
      <c r="J389" s="151"/>
      <c r="K389" s="150">
        <v>0</v>
      </c>
      <c r="L389" s="151"/>
      <c r="M389" s="150">
        <v>1</v>
      </c>
      <c r="N389" s="151"/>
      <c r="O389" s="152">
        <v>1</v>
      </c>
      <c r="P389" s="153"/>
      <c r="Q389" s="152">
        <v>1</v>
      </c>
      <c r="S389" s="154">
        <f ca="1">OFFSET(E389,0,$S$352*2)</f>
        <v>1</v>
      </c>
    </row>
    <row r="390" spans="1:38" s="19" customFormat="1" ht="12.75">
      <c r="A390" s="5"/>
      <c r="B390" s="5"/>
      <c r="C390" s="5"/>
      <c r="D390" s="5"/>
      <c r="F390" s="5"/>
      <c r="G390" s="5"/>
      <c r="H390" s="5"/>
      <c r="I390" s="5"/>
      <c r="J390" s="5"/>
      <c r="K390" s="5"/>
      <c r="L390" s="5"/>
      <c r="M390" s="5"/>
      <c r="N390" s="5"/>
      <c r="O390" s="5"/>
      <c r="P390" s="5"/>
      <c r="Q390" s="5"/>
      <c r="R390" s="5"/>
      <c r="S390" s="5"/>
      <c r="T390" s="5"/>
      <c r="U390" s="5"/>
      <c r="V390" s="5"/>
      <c r="W390" s="5"/>
      <c r="AB390" s="5"/>
      <c r="AC390" s="5"/>
      <c r="AD390" s="5"/>
      <c r="AE390" s="5"/>
      <c r="AF390" s="5"/>
      <c r="AG390" s="5"/>
      <c r="AH390" s="5"/>
      <c r="AI390" s="5"/>
      <c r="AJ390" s="5"/>
      <c r="AK390" s="5"/>
      <c r="AL390" s="5"/>
    </row>
    <row r="391" spans="1:38" ht="12.75">
      <c r="A391" s="19" t="s">
        <v>111</v>
      </c>
      <c r="B391" s="19"/>
      <c r="C391" s="19"/>
      <c r="D391" s="19"/>
      <c r="F391" s="19"/>
      <c r="G391" s="109">
        <f>G387-G373</f>
        <v>0</v>
      </c>
      <c r="H391" s="19"/>
      <c r="I391" s="109">
        <f>I387-I373</f>
        <v>0</v>
      </c>
      <c r="J391" s="19"/>
      <c r="K391" s="109">
        <f>K387-K373</f>
        <v>0</v>
      </c>
      <c r="L391" s="19"/>
      <c r="M391" s="109">
        <f>M387-M373</f>
        <v>0</v>
      </c>
      <c r="N391" s="19"/>
      <c r="O391" s="109">
        <f>O387-O373</f>
        <v>0</v>
      </c>
      <c r="P391" s="19"/>
      <c r="Q391" s="109">
        <f>Q387-Q373</f>
        <v>0</v>
      </c>
      <c r="R391" s="19"/>
      <c r="S391" s="109">
        <f>S387-S373</f>
        <v>0</v>
      </c>
      <c r="T391" s="19"/>
      <c r="U391" s="19"/>
      <c r="V391" s="19"/>
      <c r="W391" s="19"/>
      <c r="AB391" s="19"/>
      <c r="AC391" s="19"/>
      <c r="AD391" s="19"/>
      <c r="AE391" s="19"/>
      <c r="AF391" s="19"/>
      <c r="AG391" s="19"/>
      <c r="AH391" s="19"/>
      <c r="AI391" s="19"/>
      <c r="AJ391" s="19"/>
      <c r="AK391" s="19"/>
      <c r="AL391" s="19"/>
    </row>
    <row r="393" spans="1:35" ht="12.75">
      <c r="A393" s="4" t="s">
        <v>163</v>
      </c>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ht="12.75">
      <c r="A394" s="3" t="str">
        <f>$A$2</f>
        <v>($ in millions, except per share data)</v>
      </c>
    </row>
    <row r="395" spans="7:35" ht="13.5" customHeight="1" thickBot="1">
      <c r="G395" s="130" t="s">
        <v>164</v>
      </c>
      <c r="H395" s="131"/>
      <c r="I395" s="132" t="s">
        <v>165</v>
      </c>
      <c r="J395" s="132"/>
      <c r="K395" s="132"/>
      <c r="L395" s="132"/>
      <c r="M395" s="132"/>
      <c r="N395" s="132"/>
      <c r="O395" s="132"/>
      <c r="P395" s="132"/>
      <c r="Q395" s="132"/>
      <c r="R395" s="133"/>
      <c r="S395" s="82" t="s">
        <v>166</v>
      </c>
      <c r="U395" s="132" t="s">
        <v>167</v>
      </c>
      <c r="V395" s="132"/>
      <c r="W395" s="132"/>
      <c r="X395" s="132"/>
      <c r="Y395" s="132"/>
      <c r="Z395" s="132"/>
      <c r="AA395" s="132"/>
      <c r="AB395" s="132"/>
      <c r="AC395" s="132"/>
      <c r="AD395" s="132"/>
      <c r="AE395" s="132"/>
      <c r="AF395" s="132"/>
      <c r="AG395" s="132"/>
      <c r="AH395" s="132"/>
      <c r="AI395" s="132"/>
    </row>
    <row r="396" spans="1:39" ht="12.75">
      <c r="A396" s="83" t="s">
        <v>168</v>
      </c>
      <c r="AM396" s="10"/>
    </row>
    <row r="397" spans="2:21" ht="12.75">
      <c r="B397" t="s">
        <v>169</v>
      </c>
      <c r="G397" s="134">
        <v>0.0065</v>
      </c>
      <c r="I397" s="135" t="s">
        <v>191</v>
      </c>
      <c r="K397" s="134"/>
      <c r="M397" s="134"/>
      <c r="O397" s="134"/>
      <c r="Q397" s="136">
        <f>S376</f>
        <v>562.9861275</v>
      </c>
      <c r="S397" s="136">
        <f>G397*Q397</f>
        <v>3.6594098287499994</v>
      </c>
      <c r="U397" t="s">
        <v>170</v>
      </c>
    </row>
    <row r="398" spans="2:21" ht="12.75">
      <c r="B398" t="s">
        <v>171</v>
      </c>
      <c r="G398" s="134">
        <v>0.0065</v>
      </c>
      <c r="I398" s="135" t="s">
        <v>191</v>
      </c>
      <c r="K398" s="134"/>
      <c r="M398" s="134"/>
      <c r="O398" s="134"/>
      <c r="Q398" s="37">
        <f>Q397</f>
        <v>562.9861275</v>
      </c>
      <c r="S398" s="37">
        <f>G398*Q398</f>
        <v>3.6594098287499994</v>
      </c>
      <c r="U398" t="s">
        <v>170</v>
      </c>
    </row>
    <row r="399" spans="1:17" ht="12.75">
      <c r="A399" s="83" t="s">
        <v>172</v>
      </c>
      <c r="G399" s="19"/>
      <c r="I399" s="19"/>
      <c r="K399" s="19"/>
      <c r="M399" s="19"/>
      <c r="O399" s="19"/>
      <c r="Q399" s="19"/>
    </row>
    <row r="400" spans="2:21" ht="12.75">
      <c r="B400" t="s">
        <v>182</v>
      </c>
      <c r="G400" s="134">
        <v>0.0175</v>
      </c>
      <c r="I400" s="135" t="s">
        <v>173</v>
      </c>
      <c r="K400" s="134"/>
      <c r="M400" s="134"/>
      <c r="O400" s="134"/>
      <c r="Q400" s="136">
        <f>revolver</f>
        <v>100</v>
      </c>
      <c r="S400" s="136">
        <f>G400*Q400</f>
        <v>1.7500000000000002</v>
      </c>
      <c r="U400" t="s">
        <v>174</v>
      </c>
    </row>
    <row r="401" spans="2:30" ht="12.75">
      <c r="B401" t="s">
        <v>183</v>
      </c>
      <c r="G401" s="134">
        <v>0.02</v>
      </c>
      <c r="I401" s="135" t="s">
        <v>175</v>
      </c>
      <c r="K401" s="134"/>
      <c r="M401" s="134"/>
      <c r="O401" s="134"/>
      <c r="Q401" s="37">
        <f>S361</f>
        <v>150</v>
      </c>
      <c r="S401" s="37">
        <f>G401*Q401</f>
        <v>3</v>
      </c>
      <c r="U401" t="s">
        <v>174</v>
      </c>
      <c r="AD401" s="137"/>
    </row>
    <row r="402" spans="2:30" ht="12.75">
      <c r="B402" t="s">
        <v>184</v>
      </c>
      <c r="G402" s="134">
        <v>0.0175</v>
      </c>
      <c r="I402" s="135" t="s">
        <v>175</v>
      </c>
      <c r="K402" s="134"/>
      <c r="M402" s="134"/>
      <c r="O402" s="134"/>
      <c r="Q402" s="37">
        <f aca="true" t="shared" si="33" ref="Q402:Q408">S362</f>
        <v>0</v>
      </c>
      <c r="S402" s="37">
        <f aca="true" t="shared" si="34" ref="S402:S408">G402*Q402</f>
        <v>0</v>
      </c>
      <c r="U402" t="s">
        <v>174</v>
      </c>
      <c r="AD402" s="137"/>
    </row>
    <row r="403" spans="2:30" ht="12.75">
      <c r="B403" t="s">
        <v>185</v>
      </c>
      <c r="G403" s="134">
        <v>0.0225</v>
      </c>
      <c r="I403" s="135" t="s">
        <v>175</v>
      </c>
      <c r="K403" s="134"/>
      <c r="M403" s="134"/>
      <c r="O403" s="134"/>
      <c r="Q403" s="37">
        <f t="shared" si="33"/>
        <v>75</v>
      </c>
      <c r="S403" s="37">
        <f t="shared" si="34"/>
        <v>1.6875</v>
      </c>
      <c r="U403" t="s">
        <v>174</v>
      </c>
      <c r="AD403" s="137"/>
    </row>
    <row r="404" spans="2:21" ht="12.75">
      <c r="B404" t="s">
        <v>186</v>
      </c>
      <c r="G404" s="134">
        <v>0.03</v>
      </c>
      <c r="I404" s="135" t="s">
        <v>175</v>
      </c>
      <c r="K404" s="134"/>
      <c r="M404" s="134"/>
      <c r="O404" s="134"/>
      <c r="Q404" s="37">
        <f t="shared" si="33"/>
        <v>0</v>
      </c>
      <c r="S404" s="37">
        <f t="shared" si="34"/>
        <v>0</v>
      </c>
      <c r="U404" t="s">
        <v>174</v>
      </c>
    </row>
    <row r="405" spans="2:21" ht="12.75">
      <c r="B405" t="s">
        <v>187</v>
      </c>
      <c r="G405" s="134">
        <v>0</v>
      </c>
      <c r="I405" s="135" t="s">
        <v>175</v>
      </c>
      <c r="K405" s="134"/>
      <c r="M405" s="134"/>
      <c r="O405" s="134"/>
      <c r="Q405" s="37">
        <f t="shared" si="33"/>
        <v>0</v>
      </c>
      <c r="S405" s="37">
        <f t="shared" si="34"/>
        <v>0</v>
      </c>
      <c r="U405" t="s">
        <v>174</v>
      </c>
    </row>
    <row r="406" spans="2:21" ht="12.75">
      <c r="B406" t="s">
        <v>188</v>
      </c>
      <c r="G406" s="134">
        <v>0</v>
      </c>
      <c r="I406" s="135" t="s">
        <v>175</v>
      </c>
      <c r="K406" s="134"/>
      <c r="M406" s="134"/>
      <c r="O406" s="134"/>
      <c r="Q406" s="37">
        <f t="shared" si="33"/>
        <v>0</v>
      </c>
      <c r="S406" s="37">
        <f t="shared" si="34"/>
        <v>0</v>
      </c>
      <c r="U406" t="s">
        <v>174</v>
      </c>
    </row>
    <row r="407" spans="2:21" ht="12.75">
      <c r="B407" t="s">
        <v>189</v>
      </c>
      <c r="G407" s="134">
        <v>0</v>
      </c>
      <c r="I407" s="135" t="s">
        <v>175</v>
      </c>
      <c r="K407" s="134"/>
      <c r="M407" s="134"/>
      <c r="O407" s="134"/>
      <c r="Q407" s="37">
        <f t="shared" si="33"/>
        <v>10</v>
      </c>
      <c r="S407" s="37">
        <f t="shared" si="34"/>
        <v>0</v>
      </c>
      <c r="U407" t="s">
        <v>176</v>
      </c>
    </row>
    <row r="408" spans="2:21" ht="12.75">
      <c r="B408" t="s">
        <v>190</v>
      </c>
      <c r="G408" s="134">
        <v>0</v>
      </c>
      <c r="I408" s="135" t="s">
        <v>175</v>
      </c>
      <c r="K408" s="134"/>
      <c r="M408" s="134"/>
      <c r="O408" s="134"/>
      <c r="Q408" s="37">
        <f t="shared" si="33"/>
        <v>0</v>
      </c>
      <c r="S408" s="37">
        <f t="shared" si="34"/>
        <v>0</v>
      </c>
      <c r="U408" t="s">
        <v>176</v>
      </c>
    </row>
    <row r="409" ht="12.75">
      <c r="A409" s="83" t="s">
        <v>177</v>
      </c>
    </row>
    <row r="410" spans="2:21" ht="12.75">
      <c r="B410" t="s">
        <v>178</v>
      </c>
      <c r="G410" s="77"/>
      <c r="I410" s="77"/>
      <c r="K410" s="77"/>
      <c r="M410" s="77"/>
      <c r="O410" s="77"/>
      <c r="Q410" s="77"/>
      <c r="S410" s="77">
        <v>3</v>
      </c>
      <c r="U410" t="s">
        <v>170</v>
      </c>
    </row>
    <row r="411" spans="2:21" ht="12.75">
      <c r="B411" t="s">
        <v>179</v>
      </c>
      <c r="G411" s="38"/>
      <c r="I411" s="38"/>
      <c r="K411" s="38"/>
      <c r="M411" s="38"/>
      <c r="O411" s="38"/>
      <c r="Q411" s="38"/>
      <c r="S411" s="38">
        <v>2.5</v>
      </c>
      <c r="U411" t="s">
        <v>170</v>
      </c>
    </row>
    <row r="412" spans="2:21" ht="12.75">
      <c r="B412" t="s">
        <v>180</v>
      </c>
      <c r="G412" s="38"/>
      <c r="I412" s="38"/>
      <c r="K412" s="38"/>
      <c r="M412" s="38"/>
      <c r="O412" s="38"/>
      <c r="Q412" s="38"/>
      <c r="S412" s="38">
        <v>1</v>
      </c>
      <c r="U412" t="s">
        <v>170</v>
      </c>
    </row>
    <row r="413" spans="2:21" ht="12.75">
      <c r="B413" t="s">
        <v>66</v>
      </c>
      <c r="G413" s="38"/>
      <c r="I413" s="38"/>
      <c r="K413" s="38"/>
      <c r="M413" s="38"/>
      <c r="O413" s="117"/>
      <c r="Q413" s="38"/>
      <c r="S413" s="38">
        <v>2</v>
      </c>
      <c r="U413" t="s">
        <v>170</v>
      </c>
    </row>
    <row r="414" spans="2:21" ht="12.75">
      <c r="B414" t="s">
        <v>181</v>
      </c>
      <c r="G414" s="38"/>
      <c r="I414" s="38"/>
      <c r="K414" s="38"/>
      <c r="M414" s="38"/>
      <c r="O414" s="38"/>
      <c r="Q414" s="38"/>
      <c r="S414" s="38">
        <v>0</v>
      </c>
      <c r="U414" t="s">
        <v>170</v>
      </c>
    </row>
    <row r="416" spans="1:35" ht="13.5" thickBot="1">
      <c r="A416" s="83" t="s">
        <v>259</v>
      </c>
      <c r="O416" s="22" t="str">
        <f>O$46</f>
        <v>2 Mos.</v>
      </c>
      <c r="Q416" s="20" t="str">
        <f>Q$317</f>
        <v>Projected Fiscal Years Ending September 30,</v>
      </c>
      <c r="R416" s="20"/>
      <c r="S416" s="20"/>
      <c r="T416" s="20"/>
      <c r="U416" s="20"/>
      <c r="V416" s="20"/>
      <c r="W416" s="20"/>
      <c r="X416" s="20"/>
      <c r="Y416" s="20"/>
      <c r="Z416" s="20"/>
      <c r="AA416" s="20"/>
      <c r="AB416" s="20"/>
      <c r="AC416" s="20"/>
      <c r="AD416" s="20"/>
      <c r="AE416" s="20"/>
      <c r="AF416" s="20"/>
      <c r="AG416" s="20"/>
      <c r="AH416" s="20"/>
      <c r="AI416" s="20"/>
    </row>
    <row r="417" spans="9:35" ht="12.75">
      <c r="I417" s="171" t="s">
        <v>252</v>
      </c>
      <c r="K417" s="171" t="s">
        <v>256</v>
      </c>
      <c r="O417" s="22" t="str">
        <f>O$47</f>
        <v>Ending</v>
      </c>
      <c r="Q417" s="81">
        <f>Q$318</f>
        <v>1</v>
      </c>
      <c r="S417" s="81">
        <f>S$318</f>
        <v>2</v>
      </c>
      <c r="U417" s="81">
        <f>U$318</f>
        <v>3</v>
      </c>
      <c r="W417" s="81">
        <f>W$318</f>
        <v>4</v>
      </c>
      <c r="Y417" s="81">
        <f>Y$318</f>
        <v>5</v>
      </c>
      <c r="AA417" s="81">
        <f>AA$318</f>
        <v>6</v>
      </c>
      <c r="AC417" s="81">
        <f>AC$318</f>
        <v>7</v>
      </c>
      <c r="AE417" s="81">
        <f>AE$318</f>
        <v>8</v>
      </c>
      <c r="AG417" s="81">
        <f>AG$318</f>
        <v>9</v>
      </c>
      <c r="AI417" s="81">
        <f>AI$318</f>
        <v>10</v>
      </c>
    </row>
    <row r="418" spans="9:35" ht="13.5" thickBot="1">
      <c r="I418" s="82" t="s">
        <v>257</v>
      </c>
      <c r="K418" s="82" t="s">
        <v>258</v>
      </c>
      <c r="O418" s="97" t="str">
        <f>O$48</f>
        <v>9/30/2008</v>
      </c>
      <c r="Q418" s="82">
        <f>Q$319</f>
        <v>2008</v>
      </c>
      <c r="S418" s="82">
        <f>S$319</f>
        <v>2009</v>
      </c>
      <c r="U418" s="82">
        <f>U$319</f>
        <v>2010</v>
      </c>
      <c r="W418" s="82">
        <f>W$319</f>
        <v>2011</v>
      </c>
      <c r="Y418" s="82">
        <f>Y$319</f>
        <v>2012</v>
      </c>
      <c r="AA418" s="82">
        <f>AA$319</f>
        <v>2013</v>
      </c>
      <c r="AC418" s="82">
        <f>AC$319</f>
        <v>2014</v>
      </c>
      <c r="AE418" s="82">
        <f>AE$319</f>
        <v>2015</v>
      </c>
      <c r="AG418" s="82">
        <f>AG$319</f>
        <v>2016</v>
      </c>
      <c r="AI418" s="82">
        <f>AI$319</f>
        <v>2017</v>
      </c>
    </row>
    <row r="419" spans="9:35" ht="4.5" customHeight="1">
      <c r="I419" s="173"/>
      <c r="K419" s="173"/>
      <c r="O419" s="174"/>
      <c r="Q419" s="173"/>
      <c r="S419" s="173"/>
      <c r="U419" s="173"/>
      <c r="W419" s="173"/>
      <c r="Y419" s="173"/>
      <c r="AA419" s="173"/>
      <c r="AC419" s="173"/>
      <c r="AE419" s="173"/>
      <c r="AG419" s="173"/>
      <c r="AI419" s="173"/>
    </row>
    <row r="420" spans="2:35" ht="12.75">
      <c r="B420" t="str">
        <f>B400</f>
        <v>Revolver</v>
      </c>
      <c r="I420" s="38">
        <v>5</v>
      </c>
      <c r="K420" s="76">
        <f aca="true" t="shared" si="35" ref="K420:K426">IF(ISERROR(S400/I420),0,S400/I420)</f>
        <v>0.35000000000000003</v>
      </c>
      <c r="O420" s="76">
        <f aca="true" t="shared" si="36" ref="O420:O426">stub*K420</f>
        <v>0.058333333333333334</v>
      </c>
      <c r="Q420" s="76">
        <f aca="true" t="shared" si="37" ref="Q420:Q426">O420</f>
        <v>0.058333333333333334</v>
      </c>
      <c r="S420" s="76">
        <f>MAX(0,MIN($K420,$S400-SUM($Q420:Q420)))</f>
        <v>0.35000000000000003</v>
      </c>
      <c r="U420" s="76">
        <f>MAX(0,MIN($K420,$S400-SUM($Q420:S420)))</f>
        <v>0.35000000000000003</v>
      </c>
      <c r="W420" s="76">
        <f>MAX(0,MIN($K420,$S400-SUM($Q420:U420)))</f>
        <v>0.35000000000000003</v>
      </c>
      <c r="Y420" s="76">
        <f>MAX(0,MIN($K420,$S400-SUM($Q420:W420)))</f>
        <v>0.35000000000000003</v>
      </c>
      <c r="AA420" s="76">
        <f>MAX(0,MIN($K420,$S400-SUM($Q420:Y420)))</f>
        <v>0.29166666666666674</v>
      </c>
      <c r="AC420" s="76">
        <f>MAX(0,MIN($K420,$S400-SUM($Q420:AA420)))</f>
        <v>0</v>
      </c>
      <c r="AE420" s="76">
        <f>MAX(0,MIN($K420,$S400-SUM($Q420:AC420)))</f>
        <v>0</v>
      </c>
      <c r="AG420" s="76">
        <f>MAX(0,MIN($K420,$S400-SUM($Q420:AE420)))</f>
        <v>0</v>
      </c>
      <c r="AI420" s="76">
        <f>MAX(0,MIN($K420,$S400-SUM($Q420:AG420)))</f>
        <v>0</v>
      </c>
    </row>
    <row r="421" spans="2:35" ht="12.75">
      <c r="B421" t="str">
        <f aca="true" t="shared" si="38" ref="B421:B426">B401</f>
        <v>Term Loan - A</v>
      </c>
      <c r="I421" s="37">
        <f aca="true" t="shared" si="39" ref="I421:I426">K204</f>
        <v>5</v>
      </c>
      <c r="K421" s="172">
        <f t="shared" si="35"/>
        <v>0.6</v>
      </c>
      <c r="O421" s="172">
        <f t="shared" si="36"/>
        <v>0.09999999999999999</v>
      </c>
      <c r="Q421" s="37">
        <f t="shared" si="37"/>
        <v>0.09999999999999999</v>
      </c>
      <c r="S421" s="37">
        <f>MAX(0,MIN($K421,$S401-SUM($Q421:Q421)))</f>
        <v>0.6</v>
      </c>
      <c r="U421" s="37">
        <f>MAX(0,MIN($K421,$S401-SUM($Q421:S421)))</f>
        <v>0.6</v>
      </c>
      <c r="W421" s="37">
        <f>MAX(0,MIN($K421,$S401-SUM($Q421:U421)))</f>
        <v>0.6</v>
      </c>
      <c r="Y421" s="37">
        <f>MAX(0,MIN($K421,$S401-SUM($Q421:W421)))</f>
        <v>0.6</v>
      </c>
      <c r="AA421" s="37">
        <f>MAX(0,MIN($K421,$S401-SUM($Q421:Y421)))</f>
        <v>0.5</v>
      </c>
      <c r="AC421" s="37">
        <f>MAX(0,MIN($K421,$S401-SUM($Q421:AA421)))</f>
        <v>0</v>
      </c>
      <c r="AE421" s="37">
        <f>MAX(0,MIN($K421,$S401-SUM($Q421:AC421)))</f>
        <v>0</v>
      </c>
      <c r="AG421" s="37">
        <f>MAX(0,MIN($K421,$S401-SUM($Q421:AE421)))</f>
        <v>0</v>
      </c>
      <c r="AI421" s="37">
        <f>MAX(0,MIN($K421,$S401-SUM($Q421:AG421)))</f>
        <v>0</v>
      </c>
    </row>
    <row r="422" spans="2:35" ht="12.75">
      <c r="B422" t="str">
        <f t="shared" si="38"/>
        <v>Term Loan - B</v>
      </c>
      <c r="I422" s="37">
        <f t="shared" si="39"/>
        <v>6</v>
      </c>
      <c r="K422" s="172">
        <f t="shared" si="35"/>
        <v>0</v>
      </c>
      <c r="O422" s="172">
        <f t="shared" si="36"/>
        <v>0</v>
      </c>
      <c r="Q422" s="37">
        <f t="shared" si="37"/>
        <v>0</v>
      </c>
      <c r="S422" s="37">
        <f>MAX(0,MIN($K422,$S402-SUM($Q422:Q422)))</f>
        <v>0</v>
      </c>
      <c r="U422" s="37">
        <f>MAX(0,MIN($K422,$S402-SUM($Q422:S422)))</f>
        <v>0</v>
      </c>
      <c r="W422" s="37">
        <f>MAX(0,MIN($K422,$S402-SUM($Q422:U422)))</f>
        <v>0</v>
      </c>
      <c r="Y422" s="37">
        <f>MAX(0,MIN($K422,$S402-SUM($Q422:W422)))</f>
        <v>0</v>
      </c>
      <c r="AA422" s="37">
        <f>MAX(0,MIN($K422,$S402-SUM($Q422:Y422)))</f>
        <v>0</v>
      </c>
      <c r="AC422" s="37">
        <f>MAX(0,MIN($K422,$S402-SUM($Q422:AA422)))</f>
        <v>0</v>
      </c>
      <c r="AE422" s="37">
        <f>MAX(0,MIN($K422,$S402-SUM($Q422:AC422)))</f>
        <v>0</v>
      </c>
      <c r="AG422" s="37">
        <f>MAX(0,MIN($K422,$S402-SUM($Q422:AE422)))</f>
        <v>0</v>
      </c>
      <c r="AI422" s="37">
        <f>MAX(0,MIN($K422,$S402-SUM($Q422:AG422)))</f>
        <v>0</v>
      </c>
    </row>
    <row r="423" spans="2:35" ht="12.75">
      <c r="B423" t="str">
        <f t="shared" si="38"/>
        <v>Senior Note</v>
      </c>
      <c r="I423" s="37">
        <f t="shared" si="39"/>
        <v>4</v>
      </c>
      <c r="K423" s="172">
        <f t="shared" si="35"/>
        <v>0.421875</v>
      </c>
      <c r="O423" s="172">
        <f t="shared" si="36"/>
        <v>0.0703125</v>
      </c>
      <c r="Q423" s="37">
        <f t="shared" si="37"/>
        <v>0.0703125</v>
      </c>
      <c r="S423" s="37">
        <f>MAX(0,MIN($K423,$S403-SUM($Q423:Q423)))</f>
        <v>0.421875</v>
      </c>
      <c r="U423" s="37">
        <f>MAX(0,MIN($K423,$S403-SUM($Q423:S423)))</f>
        <v>0.421875</v>
      </c>
      <c r="W423" s="37">
        <f>MAX(0,MIN($K423,$S403-SUM($Q423:U423)))</f>
        <v>0.421875</v>
      </c>
      <c r="Y423" s="37">
        <f>MAX(0,MIN($K423,$S403-SUM($Q423:W423)))</f>
        <v>0.3515625</v>
      </c>
      <c r="AA423" s="37">
        <f>MAX(0,MIN($K423,$S403-SUM($Q423:Y423)))</f>
        <v>0</v>
      </c>
      <c r="AC423" s="37">
        <f>MAX(0,MIN($K423,$S403-SUM($Q423:AA423)))</f>
        <v>0</v>
      </c>
      <c r="AE423" s="37">
        <f>MAX(0,MIN($K423,$S403-SUM($Q423:AC423)))</f>
        <v>0</v>
      </c>
      <c r="AG423" s="37">
        <f>MAX(0,MIN($K423,$S403-SUM($Q423:AE423)))</f>
        <v>0</v>
      </c>
      <c r="AI423" s="37">
        <f>MAX(0,MIN($K423,$S403-SUM($Q423:AG423)))</f>
        <v>0</v>
      </c>
    </row>
    <row r="424" spans="2:35" ht="12.75">
      <c r="B424" t="str">
        <f t="shared" si="38"/>
        <v>Subordinated Note</v>
      </c>
      <c r="I424" s="37">
        <f t="shared" si="39"/>
        <v>4</v>
      </c>
      <c r="K424" s="172">
        <f t="shared" si="35"/>
        <v>0</v>
      </c>
      <c r="O424" s="172">
        <f t="shared" si="36"/>
        <v>0</v>
      </c>
      <c r="Q424" s="37">
        <f t="shared" si="37"/>
        <v>0</v>
      </c>
      <c r="S424" s="37">
        <f>MAX(0,MIN($K424,$S404-SUM($Q424:Q424)))</f>
        <v>0</v>
      </c>
      <c r="U424" s="37">
        <f>MAX(0,MIN($K424,$S404-SUM($Q424:S424)))</f>
        <v>0</v>
      </c>
      <c r="W424" s="37">
        <f>MAX(0,MIN($K424,$S404-SUM($Q424:U424)))</f>
        <v>0</v>
      </c>
      <c r="Y424" s="37">
        <f>MAX(0,MIN($K424,$S404-SUM($Q424:W424)))</f>
        <v>0</v>
      </c>
      <c r="AA424" s="37">
        <f>MAX(0,MIN($K424,$S404-SUM($Q424:Y424)))</f>
        <v>0</v>
      </c>
      <c r="AC424" s="37">
        <f>MAX(0,MIN($K424,$S404-SUM($Q424:AA424)))</f>
        <v>0</v>
      </c>
      <c r="AE424" s="37">
        <f>MAX(0,MIN($K424,$S404-SUM($Q424:AC424)))</f>
        <v>0</v>
      </c>
      <c r="AG424" s="37">
        <f>MAX(0,MIN($K424,$S404-SUM($Q424:AE424)))</f>
        <v>0</v>
      </c>
      <c r="AI424" s="37">
        <f>MAX(0,MIN($K424,$S404-SUM($Q424:AG424)))</f>
        <v>0</v>
      </c>
    </row>
    <row r="425" spans="2:35" ht="12.75">
      <c r="B425" t="str">
        <f t="shared" si="38"/>
        <v>Mezzanine</v>
      </c>
      <c r="I425" s="37">
        <f t="shared" si="39"/>
        <v>0</v>
      </c>
      <c r="K425" s="172">
        <f t="shared" si="35"/>
        <v>0</v>
      </c>
      <c r="O425" s="172">
        <f t="shared" si="36"/>
        <v>0</v>
      </c>
      <c r="Q425" s="37">
        <f t="shared" si="37"/>
        <v>0</v>
      </c>
      <c r="S425" s="37">
        <f>MAX(0,MIN($K425,$S405-SUM($Q425:Q425)))</f>
        <v>0</v>
      </c>
      <c r="U425" s="37">
        <f>MAX(0,MIN($K425,$S405-SUM($Q425:S425)))</f>
        <v>0</v>
      </c>
      <c r="W425" s="37">
        <f>MAX(0,MIN($K425,$S405-SUM($Q425:U425)))</f>
        <v>0</v>
      </c>
      <c r="Y425" s="37">
        <f>MAX(0,MIN($K425,$S405-SUM($Q425:W425)))</f>
        <v>0</v>
      </c>
      <c r="AA425" s="37">
        <f>MAX(0,MIN($K425,$S405-SUM($Q425:Y425)))</f>
        <v>0</v>
      </c>
      <c r="AC425" s="37">
        <f>MAX(0,MIN($K425,$S405-SUM($Q425:AA425)))</f>
        <v>0</v>
      </c>
      <c r="AE425" s="37">
        <f>MAX(0,MIN($K425,$S405-SUM($Q425:AC425)))</f>
        <v>0</v>
      </c>
      <c r="AG425" s="37">
        <f>MAX(0,MIN($K425,$S405-SUM($Q425:AE425)))</f>
        <v>0</v>
      </c>
      <c r="AI425" s="37">
        <f>MAX(0,MIN($K425,$S405-SUM($Q425:AG425)))</f>
        <v>0</v>
      </c>
    </row>
    <row r="426" spans="2:35" ht="13.5" thickBot="1">
      <c r="B426" t="str">
        <f t="shared" si="38"/>
        <v>Seller Note</v>
      </c>
      <c r="I426" s="37">
        <f t="shared" si="39"/>
        <v>8</v>
      </c>
      <c r="K426" s="172">
        <f t="shared" si="35"/>
        <v>0</v>
      </c>
      <c r="O426" s="172">
        <f t="shared" si="36"/>
        <v>0</v>
      </c>
      <c r="Q426" s="37">
        <f t="shared" si="37"/>
        <v>0</v>
      </c>
      <c r="S426" s="37">
        <f>MAX(0,MIN($K426,$S406-SUM($Q426:Q426)))</f>
        <v>0</v>
      </c>
      <c r="U426" s="37">
        <f>MAX(0,MIN($K426,$S406-SUM($Q426:S426)))</f>
        <v>0</v>
      </c>
      <c r="W426" s="37">
        <f>MAX(0,MIN($K426,$S406-SUM($Q426:U426)))</f>
        <v>0</v>
      </c>
      <c r="Y426" s="37">
        <f>MAX(0,MIN($K426,$S406-SUM($Q426:W426)))</f>
        <v>0</v>
      </c>
      <c r="AA426" s="37">
        <f>MAX(0,MIN($K426,$S406-SUM($Q426:Y426)))</f>
        <v>0</v>
      </c>
      <c r="AC426" s="37">
        <f>MAX(0,MIN($K426,$S406-SUM($Q426:AA426)))</f>
        <v>0</v>
      </c>
      <c r="AE426" s="37">
        <f>MAX(0,MIN($K426,$S406-SUM($Q426:AC426)))</f>
        <v>0</v>
      </c>
      <c r="AG426" s="37">
        <f>MAX(0,MIN($K426,$S406-SUM($Q426:AE426)))</f>
        <v>0</v>
      </c>
      <c r="AI426" s="37">
        <f>MAX(0,MIN($K426,$S406-SUM($Q426:AG426)))</f>
        <v>0</v>
      </c>
    </row>
    <row r="427" spans="3:35" ht="13.5" thickBot="1">
      <c r="C427" s="10" t="s">
        <v>260</v>
      </c>
      <c r="O427" s="106">
        <f>SUM(O420:O426)</f>
        <v>0.22864583333333333</v>
      </c>
      <c r="Q427" s="106">
        <f>SUM(Q420:Q426)</f>
        <v>0.22864583333333333</v>
      </c>
      <c r="S427" s="106">
        <f>SUM(S420:S426)</f>
        <v>1.371875</v>
      </c>
      <c r="U427" s="106">
        <f>SUM(U420:U426)</f>
        <v>1.371875</v>
      </c>
      <c r="W427" s="106">
        <f>SUM(W420:W426)</f>
        <v>1.371875</v>
      </c>
      <c r="Y427" s="106">
        <f>SUM(Y420:Y426)</f>
        <v>1.3015625</v>
      </c>
      <c r="AA427" s="106">
        <f>SUM(AA420:AA426)</f>
        <v>0.7916666666666667</v>
      </c>
      <c r="AC427" s="106">
        <f>SUM(AC420:AC426)</f>
        <v>0</v>
      </c>
      <c r="AE427" s="106">
        <f>SUM(AE420:AE426)</f>
        <v>0</v>
      </c>
      <c r="AG427" s="106">
        <f>SUM(AG420:AG426)</f>
        <v>0</v>
      </c>
      <c r="AI427" s="106">
        <f>SUM(AI420:AI426)</f>
        <v>0</v>
      </c>
    </row>
    <row r="428" ht="13.5" thickTop="1"/>
  </sheetData>
  <conditionalFormatting sqref="G389:Q389 M208 Q33 Q29">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8">
    <dataValidation type="whole" operator="equal" showInputMessage="1" showErrorMessage="1" errorTitle="Validation Error" error="Goodwill is not amortized under GAAP accounting." sqref="K285">
      <formula1>0</formula1>
    </dataValidation>
    <dataValidation type="decimal" operator="equal" allowBlank="1" showInputMessage="1" showErrorMessage="1" sqref="G207:G209">
      <formula1>0</formula1>
    </dataValidation>
    <dataValidation type="whole" showInputMessage="1" showErrorMessage="1" errorTitle="Validation Error" error="Enter either 0 or 1." sqref="I203:I209">
      <formula1>0</formula1>
      <formula2>1</formula2>
    </dataValidation>
    <dataValidation type="whole" allowBlank="1" showInputMessage="1" showErrorMessage="1" errorTitle="Validation Error" error="You must input either a 0 or 1." sqref="B265">
      <formula1>0</formula1>
      <formula2>1</formula2>
    </dataValidation>
    <dataValidation type="whole" showInputMessage="1" showErrorMessage="1" errorTitle="Validation Error" error="Enter either a 0 or 1." sqref="Q33 Q29">
      <formula1>0</formula1>
      <formula2>1</formula2>
    </dataValidation>
    <dataValidation type="whole" operator="greaterThanOrEqual" showInputMessage="1" showErrorMessage="1" sqref="Y27">
      <formula1>1</formula1>
    </dataValidation>
    <dataValidation type="decimal" showInputMessage="1" showErrorMessage="1" errorTitle="Validation Error" error="NOLs may not be carried forward more than 20 years." sqref="K299:K300 M294">
      <formula1>0</formula1>
      <formula2>20</formula2>
    </dataValidation>
    <dataValidation type="whole" operator="equal" allowBlank="1" showInputMessage="1" showErrorMessage="1" errorTitle="Validation Error" error="This value must equal zero." sqref="Q307">
      <formula1>0</formula1>
    </dataValidation>
  </dataValidations>
  <printOptions/>
  <pageMargins left="0.75" right="0.75" top="1" bottom="1" header="0.5" footer="0.5"/>
  <pageSetup horizontalDpi="300" verticalDpi="300" orientation="portrait" paperSize="119" r:id="rId3"/>
  <legacyDrawing r:id="rId2"/>
</worksheet>
</file>

<file path=xl/worksheets/sheet2.xml><?xml version="1.0" encoding="utf-8"?>
<worksheet xmlns="http://schemas.openxmlformats.org/spreadsheetml/2006/main" xmlns:r="http://schemas.openxmlformats.org/officeDocument/2006/relationships">
  <dimension ref="A1:X66"/>
  <sheetViews>
    <sheetView showGridLines="0" zoomScale="80" zoomScaleNormal="80" workbookViewId="0" topLeftCell="A1">
      <selection activeCell="A1" sqref="A1"/>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18"/>
      <c r="C1" s="2"/>
      <c r="D1" s="2"/>
      <c r="E1" s="2"/>
      <c r="F1" s="2"/>
      <c r="G1" s="2"/>
      <c r="H1" s="2"/>
      <c r="I1" s="2"/>
      <c r="J1" s="2"/>
      <c r="K1" s="2"/>
      <c r="L1" s="2"/>
      <c r="M1" s="2"/>
      <c r="N1" s="2"/>
      <c r="O1" s="2"/>
      <c r="P1" s="2"/>
      <c r="Q1" s="2"/>
      <c r="R1" s="2"/>
      <c r="S1" s="2"/>
      <c r="T1" s="2"/>
      <c r="U1" s="2"/>
      <c r="V1" s="2"/>
      <c r="W1" s="2"/>
      <c r="X1" s="2"/>
    </row>
    <row r="2" spans="1:2" ht="12.75">
      <c r="A2" s="3" t="s">
        <v>0</v>
      </c>
      <c r="B2" s="19"/>
    </row>
    <row r="4" spans="7:24" ht="13.5" customHeight="1" thickBot="1">
      <c r="G4" s="20" t="str">
        <f>"FY Ended "&amp;TEXT(fye,"mmmm d")&amp;","</f>
        <v>FY Ended September 30,</v>
      </c>
      <c r="H4" s="20"/>
      <c r="I4" s="20"/>
      <c r="J4" s="20"/>
      <c r="K4" s="20"/>
      <c r="M4" s="20" t="str">
        <f>"FY Ending "&amp;TEXT(fye,"mmmm d")&amp;","</f>
        <v>FY Ending September 30,</v>
      </c>
      <c r="N4" s="21"/>
      <c r="O4" s="21"/>
      <c r="P4" s="21"/>
      <c r="Q4" s="21"/>
      <c r="R4" s="21"/>
      <c r="S4" s="21"/>
      <c r="T4" s="21"/>
      <c r="U4" s="21"/>
      <c r="X4" s="22" t="s">
        <v>21</v>
      </c>
    </row>
    <row r="5" spans="7:24" ht="13.5" customHeight="1" thickBot="1">
      <c r="G5" s="23">
        <f>I5-1</f>
        <v>2005</v>
      </c>
      <c r="H5" s="24"/>
      <c r="I5" s="23">
        <f>K5-1</f>
        <v>2006</v>
      </c>
      <c r="K5" s="25">
        <v>2007</v>
      </c>
      <c r="M5" s="26">
        <f>K5+1</f>
        <v>2008</v>
      </c>
      <c r="O5" s="26">
        <f>M5+1</f>
        <v>2009</v>
      </c>
      <c r="Q5" s="26">
        <f>O5+1</f>
        <v>2010</v>
      </c>
      <c r="R5" s="27"/>
      <c r="S5" s="28">
        <f>Q5+1</f>
        <v>2011</v>
      </c>
      <c r="U5" s="28">
        <f>S5+1</f>
        <v>2012</v>
      </c>
      <c r="X5" s="29" t="str">
        <f>M5&amp;"-"&amp;U5</f>
        <v>2008-2012</v>
      </c>
    </row>
    <row r="6" ht="4.5" customHeight="1"/>
    <row r="7" spans="2:24" s="30" customFormat="1" ht="12.75">
      <c r="B7" s="30" t="s">
        <v>22</v>
      </c>
      <c r="G7" s="31">
        <v>370.8</v>
      </c>
      <c r="I7" s="31">
        <v>380.8</v>
      </c>
      <c r="K7" s="31">
        <v>402.5</v>
      </c>
      <c r="M7" s="31">
        <v>458.1</v>
      </c>
      <c r="O7" s="31">
        <v>468</v>
      </c>
      <c r="Q7" s="31">
        <v>470.5</v>
      </c>
      <c r="S7" s="32">
        <f>Q7*(1+S8)</f>
        <v>475.205</v>
      </c>
      <c r="U7" s="32">
        <f>S7*(1+U8)</f>
        <v>479.95705</v>
      </c>
      <c r="X7" s="33">
        <f>(U7/M7)^(1/(U$5-$M$5))-1</f>
        <v>0.011720432226423716</v>
      </c>
    </row>
    <row r="8" spans="3:24" s="19" customFormat="1" ht="12.75" customHeight="1">
      <c r="C8" s="19" t="s">
        <v>23</v>
      </c>
      <c r="G8" s="34" t="s">
        <v>24</v>
      </c>
      <c r="I8" s="33">
        <f>I7/G7-1</f>
        <v>0.026968716289104577</v>
      </c>
      <c r="K8" s="33">
        <f>K7/I7-1</f>
        <v>0.05698529411764697</v>
      </c>
      <c r="M8" s="33">
        <f>M7/K7-1</f>
        <v>0.1381366459627329</v>
      </c>
      <c r="O8" s="33">
        <f>O7/M7-1</f>
        <v>0.0216110019646365</v>
      </c>
      <c r="Q8" s="33">
        <f>Q7/O7-1</f>
        <v>0.005341880341880323</v>
      </c>
      <c r="S8" s="35">
        <v>0.01</v>
      </c>
      <c r="U8" s="33">
        <f>S8</f>
        <v>0.01</v>
      </c>
      <c r="X8" s="36"/>
    </row>
    <row r="9" ht="4.5" customHeight="1"/>
    <row r="10" spans="2:21" s="37" customFormat="1" ht="12.75">
      <c r="B10" s="37" t="s">
        <v>25</v>
      </c>
      <c r="G10" s="38">
        <v>182.5</v>
      </c>
      <c r="I10" s="38">
        <v>188.6</v>
      </c>
      <c r="K10" s="38">
        <v>207.7</v>
      </c>
      <c r="M10" s="38">
        <v>239.6</v>
      </c>
      <c r="O10" s="38">
        <v>249.8</v>
      </c>
      <c r="Q10" s="38">
        <v>252.2</v>
      </c>
      <c r="S10" s="39">
        <f>S11*S7</f>
        <v>254.72199999999998</v>
      </c>
      <c r="U10" s="39">
        <f>U11*U7</f>
        <v>257.26921999999996</v>
      </c>
    </row>
    <row r="11" spans="3:24" s="19" customFormat="1" ht="12.75" customHeight="1" thickBot="1">
      <c r="C11" s="19" t="s">
        <v>26</v>
      </c>
      <c r="G11" s="40">
        <f>G10/G7</f>
        <v>0.49217907227615965</v>
      </c>
      <c r="I11" s="40">
        <f>I10/I7</f>
        <v>0.49527310924369744</v>
      </c>
      <c r="K11" s="40">
        <f>K10/K7</f>
        <v>0.5160248447204968</v>
      </c>
      <c r="M11" s="40">
        <f>M10/M7</f>
        <v>0.5230299061340319</v>
      </c>
      <c r="O11" s="40">
        <f>O10/O7</f>
        <v>0.5337606837606838</v>
      </c>
      <c r="Q11" s="40">
        <f>Q10/Q7</f>
        <v>0.5360255047821466</v>
      </c>
      <c r="S11" s="41">
        <f>Q11</f>
        <v>0.5360255047821466</v>
      </c>
      <c r="U11" s="40">
        <f>S11</f>
        <v>0.5360255047821466</v>
      </c>
      <c r="X11" s="36"/>
    </row>
    <row r="12" spans="2:24" ht="12.75">
      <c r="B12" t="s">
        <v>27</v>
      </c>
      <c r="G12" s="42">
        <f>G7-G10</f>
        <v>188.3</v>
      </c>
      <c r="I12" s="42">
        <f>I7-I10</f>
        <v>192.20000000000002</v>
      </c>
      <c r="K12" s="42">
        <f>K7-K10</f>
        <v>194.8</v>
      </c>
      <c r="M12" s="42">
        <f>M7-M10</f>
        <v>218.50000000000003</v>
      </c>
      <c r="O12" s="42">
        <f>O7-O10</f>
        <v>218.2</v>
      </c>
      <c r="Q12" s="42">
        <f>Q7-Q10</f>
        <v>218.3</v>
      </c>
      <c r="S12" s="42">
        <f>S7-S10</f>
        <v>220.483</v>
      </c>
      <c r="U12" s="42">
        <f>U7-U10</f>
        <v>222.68783000000002</v>
      </c>
      <c r="X12" s="33">
        <f>(U12/M12)^(1/(U$5-$M$5))-1</f>
        <v>0.004757508860870674</v>
      </c>
    </row>
    <row r="13" spans="3:24" s="19" customFormat="1" ht="12.75" customHeight="1">
      <c r="C13" s="19" t="s">
        <v>28</v>
      </c>
      <c r="G13" s="40">
        <f>G12/G$7</f>
        <v>0.5078209277238404</v>
      </c>
      <c r="I13" s="40">
        <f>I12/I$7</f>
        <v>0.5047268907563025</v>
      </c>
      <c r="K13" s="40">
        <f>K12/K$7</f>
        <v>0.48397515527950313</v>
      </c>
      <c r="M13" s="40">
        <f>M12/M$7</f>
        <v>0.47697009386596817</v>
      </c>
      <c r="O13" s="40">
        <f>O12/O$7</f>
        <v>0.4662393162393162</v>
      </c>
      <c r="Q13" s="40">
        <f>Q12/Q$7</f>
        <v>0.4639744952178534</v>
      </c>
      <c r="S13" s="40">
        <f>S12/S$7</f>
        <v>0.4639744952178534</v>
      </c>
      <c r="U13" s="40">
        <f>U12/U$7</f>
        <v>0.4639744952178534</v>
      </c>
      <c r="X13" s="36"/>
    </row>
    <row r="14" ht="4.5" customHeight="1"/>
    <row r="15" spans="2:21" s="37" customFormat="1" ht="12.75" customHeight="1">
      <c r="B15" s="37" t="s">
        <v>29</v>
      </c>
      <c r="G15" s="38">
        <v>46.6</v>
      </c>
      <c r="I15" s="43">
        <v>61.9</v>
      </c>
      <c r="K15" s="38">
        <v>74.8</v>
      </c>
      <c r="M15" s="38">
        <v>88.3</v>
      </c>
      <c r="O15" s="38">
        <v>91.7</v>
      </c>
      <c r="Q15" s="38">
        <v>92.4</v>
      </c>
      <c r="S15" s="39">
        <f>S16*S7</f>
        <v>93.324</v>
      </c>
      <c r="U15" s="39">
        <f>U16*U7</f>
        <v>94.25724</v>
      </c>
    </row>
    <row r="16" spans="3:24" s="19" customFormat="1" ht="12.75" customHeight="1">
      <c r="C16" s="19" t="s">
        <v>26</v>
      </c>
      <c r="G16" s="40">
        <f>G15/G$7</f>
        <v>0.1256742179072276</v>
      </c>
      <c r="I16" s="40">
        <f>I15/I$7</f>
        <v>0.16255252100840334</v>
      </c>
      <c r="K16" s="40">
        <f>K15/K$7</f>
        <v>0.18583850931677018</v>
      </c>
      <c r="M16" s="40">
        <f>M15/M$7</f>
        <v>0.19275267408862692</v>
      </c>
      <c r="O16" s="40">
        <f>O15/O$7</f>
        <v>0.19594017094017094</v>
      </c>
      <c r="Q16" s="40">
        <f>Q15/Q$7</f>
        <v>0.19638682252922424</v>
      </c>
      <c r="S16" s="41">
        <f>Q16</f>
        <v>0.19638682252922424</v>
      </c>
      <c r="U16" s="40">
        <f>S16</f>
        <v>0.19638682252922424</v>
      </c>
      <c r="X16" s="36"/>
    </row>
    <row r="17" ht="4.5" customHeight="1"/>
    <row r="18" spans="1:22" ht="4.5" customHeight="1">
      <c r="A18" s="44"/>
      <c r="B18" s="44"/>
      <c r="C18" s="44"/>
      <c r="D18" s="44"/>
      <c r="E18" s="44"/>
      <c r="F18" s="44"/>
      <c r="G18" s="44"/>
      <c r="H18" s="44"/>
      <c r="I18" s="44"/>
      <c r="J18" s="44"/>
      <c r="K18" s="44"/>
      <c r="L18" s="44"/>
      <c r="M18" s="44"/>
      <c r="N18" s="44"/>
      <c r="O18" s="44"/>
      <c r="P18" s="44"/>
      <c r="Q18" s="44"/>
      <c r="R18" s="44"/>
      <c r="S18" s="44"/>
      <c r="T18" s="44"/>
      <c r="U18" s="44"/>
      <c r="V18" s="45"/>
    </row>
    <row r="19" spans="1:24" s="10" customFormat="1" ht="12.75">
      <c r="A19" s="46"/>
      <c r="B19" s="46" t="s">
        <v>30</v>
      </c>
      <c r="C19" s="46"/>
      <c r="D19" s="46"/>
      <c r="E19" s="46"/>
      <c r="F19" s="46"/>
      <c r="G19" s="47">
        <f>G12-G15</f>
        <v>141.70000000000002</v>
      </c>
      <c r="H19" s="46"/>
      <c r="I19" s="47">
        <f>I12-I15</f>
        <v>130.3</v>
      </c>
      <c r="J19" s="46"/>
      <c r="K19" s="47">
        <f>K12-K15</f>
        <v>120.00000000000001</v>
      </c>
      <c r="L19" s="46"/>
      <c r="M19" s="47">
        <f>M12-M15</f>
        <v>130.20000000000005</v>
      </c>
      <c r="N19" s="46"/>
      <c r="O19" s="47">
        <f>O12-O15</f>
        <v>126.49999999999999</v>
      </c>
      <c r="P19" s="46"/>
      <c r="Q19" s="47">
        <f>Q12-Q15</f>
        <v>125.9</v>
      </c>
      <c r="R19" s="46"/>
      <c r="S19" s="47">
        <f>S12-S15</f>
        <v>127.159</v>
      </c>
      <c r="T19" s="46"/>
      <c r="U19" s="47">
        <f>U12-U15</f>
        <v>128.43059000000002</v>
      </c>
      <c r="V19" s="48"/>
      <c r="X19" s="33">
        <f>(U19/M19)^(1/(U$5-$M$5))-1</f>
        <v>-0.003414937546371344</v>
      </c>
    </row>
    <row r="20" spans="1:24" s="19" customFormat="1" ht="12.75" customHeight="1">
      <c r="A20" s="49"/>
      <c r="B20" s="49"/>
      <c r="C20" s="49" t="s">
        <v>28</v>
      </c>
      <c r="D20" s="49"/>
      <c r="E20" s="49"/>
      <c r="F20" s="49"/>
      <c r="G20" s="50">
        <f>G19/G$7</f>
        <v>0.38214670981661275</v>
      </c>
      <c r="H20" s="49"/>
      <c r="I20" s="50">
        <f>I19/I$7</f>
        <v>0.34217436974789917</v>
      </c>
      <c r="J20" s="49"/>
      <c r="K20" s="50">
        <f>K19/K$7</f>
        <v>0.2981366459627329</v>
      </c>
      <c r="L20" s="49"/>
      <c r="M20" s="50">
        <f>M19/M$7</f>
        <v>0.2842174197773413</v>
      </c>
      <c r="N20" s="49"/>
      <c r="O20" s="50">
        <f>O19/O$7</f>
        <v>0.2702991452991453</v>
      </c>
      <c r="P20" s="49"/>
      <c r="Q20" s="50">
        <f>Q19/Q$7</f>
        <v>0.26758767268862915</v>
      </c>
      <c r="R20" s="49"/>
      <c r="S20" s="50">
        <f>S19/S$7</f>
        <v>0.26758767268862915</v>
      </c>
      <c r="T20" s="49"/>
      <c r="U20" s="50">
        <f>U19/U$7</f>
        <v>0.26758767268862915</v>
      </c>
      <c r="V20" s="51"/>
      <c r="X20" s="36"/>
    </row>
    <row r="21" spans="1:22" ht="4.5" customHeight="1">
      <c r="A21" s="6"/>
      <c r="B21" s="6"/>
      <c r="C21" s="6"/>
      <c r="D21" s="6"/>
      <c r="E21" s="6"/>
      <c r="F21" s="6"/>
      <c r="G21" s="6"/>
      <c r="H21" s="6"/>
      <c r="I21" s="6"/>
      <c r="J21" s="6"/>
      <c r="K21" s="6"/>
      <c r="L21" s="6"/>
      <c r="M21" s="6"/>
      <c r="N21" s="6"/>
      <c r="O21" s="6"/>
      <c r="P21" s="6"/>
      <c r="Q21" s="6"/>
      <c r="R21" s="6"/>
      <c r="S21" s="6"/>
      <c r="T21" s="6"/>
      <c r="U21" s="6"/>
      <c r="V21" s="52"/>
    </row>
    <row r="22" spans="1:22" s="37" customFormat="1" ht="12.75" customHeight="1">
      <c r="A22" s="53"/>
      <c r="B22" s="53" t="s">
        <v>31</v>
      </c>
      <c r="C22" s="53"/>
      <c r="D22" s="53"/>
      <c r="E22" s="53"/>
      <c r="F22" s="53"/>
      <c r="G22" s="43">
        <v>14</v>
      </c>
      <c r="H22" s="53"/>
      <c r="I22" s="54">
        <v>11.1</v>
      </c>
      <c r="J22" s="53"/>
      <c r="K22" s="54">
        <v>12.1</v>
      </c>
      <c r="L22" s="53"/>
      <c r="M22" s="54">
        <v>14.1</v>
      </c>
      <c r="N22" s="53"/>
      <c r="O22" s="54">
        <v>14.1</v>
      </c>
      <c r="P22" s="53"/>
      <c r="Q22" s="54">
        <v>14.1</v>
      </c>
      <c r="R22" s="53"/>
      <c r="S22" s="55">
        <f>S23*S7</f>
        <v>14.241</v>
      </c>
      <c r="T22" s="53"/>
      <c r="U22" s="55">
        <f>U23*U7</f>
        <v>14.38341</v>
      </c>
      <c r="V22" s="56"/>
    </row>
    <row r="23" spans="1:24" s="19" customFormat="1" ht="12.75" customHeight="1">
      <c r="A23" s="49"/>
      <c r="B23" s="49"/>
      <c r="C23" s="49" t="s">
        <v>26</v>
      </c>
      <c r="D23" s="49"/>
      <c r="E23" s="49"/>
      <c r="F23" s="49"/>
      <c r="G23" s="50">
        <f>G22/G$7</f>
        <v>0.037756202804746494</v>
      </c>
      <c r="H23" s="49"/>
      <c r="I23" s="50">
        <f>I22/I$7</f>
        <v>0.029149159663865543</v>
      </c>
      <c r="J23" s="49"/>
      <c r="K23" s="50">
        <f>K22/K$7</f>
        <v>0.030062111801242235</v>
      </c>
      <c r="L23" s="49"/>
      <c r="M23" s="50">
        <f>M22/M$7</f>
        <v>0.03077930582842174</v>
      </c>
      <c r="N23" s="49"/>
      <c r="O23" s="50">
        <f>O22/O$7</f>
        <v>0.03012820512820513</v>
      </c>
      <c r="P23" s="49"/>
      <c r="Q23" s="50">
        <f>Q22/Q$7</f>
        <v>0.029968119022316685</v>
      </c>
      <c r="R23" s="49"/>
      <c r="S23" s="57">
        <f>Q23</f>
        <v>0.029968119022316685</v>
      </c>
      <c r="T23" s="49"/>
      <c r="U23" s="50">
        <f>S23</f>
        <v>0.029968119022316685</v>
      </c>
      <c r="V23" s="51"/>
      <c r="X23" s="36"/>
    </row>
    <row r="24" spans="1:22" s="37" customFormat="1" ht="12.75" customHeight="1">
      <c r="A24" s="53"/>
      <c r="B24" s="53" t="s">
        <v>32</v>
      </c>
      <c r="C24" s="53"/>
      <c r="D24" s="53"/>
      <c r="E24" s="53"/>
      <c r="F24" s="53"/>
      <c r="G24" s="43">
        <v>25.7</v>
      </c>
      <c r="H24" s="53"/>
      <c r="I24" s="54">
        <v>18.2</v>
      </c>
      <c r="J24" s="53"/>
      <c r="K24" s="54">
        <v>18.6</v>
      </c>
      <c r="L24" s="53"/>
      <c r="M24" s="54">
        <v>19.6</v>
      </c>
      <c r="N24" s="53"/>
      <c r="O24" s="54">
        <v>19.9</v>
      </c>
      <c r="P24" s="53"/>
      <c r="Q24" s="54">
        <v>20</v>
      </c>
      <c r="R24" s="53"/>
      <c r="S24" s="55">
        <f>Q24</f>
        <v>20</v>
      </c>
      <c r="T24" s="53"/>
      <c r="U24" s="55">
        <f>S24</f>
        <v>20</v>
      </c>
      <c r="V24" s="56"/>
    </row>
    <row r="25" spans="1:24" s="19" customFormat="1" ht="12.75" customHeight="1" thickBot="1">
      <c r="A25" s="49"/>
      <c r="B25" s="49"/>
      <c r="C25" s="49" t="s">
        <v>26</v>
      </c>
      <c r="D25" s="49"/>
      <c r="E25" s="49"/>
      <c r="F25" s="49"/>
      <c r="G25" s="50">
        <f>G24/G$7</f>
        <v>0.06930960086299892</v>
      </c>
      <c r="H25" s="49"/>
      <c r="I25" s="50">
        <f>I24/I$7</f>
        <v>0.04779411764705882</v>
      </c>
      <c r="J25" s="49"/>
      <c r="K25" s="50">
        <f>K24/K$7</f>
        <v>0.04621118012422361</v>
      </c>
      <c r="L25" s="49"/>
      <c r="M25" s="50">
        <f>M24/M$7</f>
        <v>0.0427854180309976</v>
      </c>
      <c r="N25" s="49"/>
      <c r="O25" s="50">
        <f>O24/O$7</f>
        <v>0.042521367521367516</v>
      </c>
      <c r="P25" s="49"/>
      <c r="Q25" s="50">
        <f>Q24/Q$7</f>
        <v>0.04250797024442083</v>
      </c>
      <c r="R25" s="49"/>
      <c r="S25" s="50">
        <f>S24/S$7</f>
        <v>0.042087099251901815</v>
      </c>
      <c r="T25" s="49"/>
      <c r="U25" s="50">
        <f>U24/U$7</f>
        <v>0.041670395298912685</v>
      </c>
      <c r="V25" s="51"/>
      <c r="X25" s="36"/>
    </row>
    <row r="26" spans="1:22" ht="12.75">
      <c r="A26" s="6"/>
      <c r="B26" s="6" t="s">
        <v>33</v>
      </c>
      <c r="C26" s="6"/>
      <c r="D26" s="6"/>
      <c r="E26" s="6"/>
      <c r="F26" s="6"/>
      <c r="G26" s="78">
        <f>G24+G22</f>
        <v>39.7</v>
      </c>
      <c r="H26" s="79"/>
      <c r="I26" s="78">
        <f>I24+I22</f>
        <v>29.299999999999997</v>
      </c>
      <c r="J26" s="79"/>
      <c r="K26" s="78">
        <f>K24+K22</f>
        <v>30.700000000000003</v>
      </c>
      <c r="L26" s="79"/>
      <c r="M26" s="78">
        <f>M24+M22</f>
        <v>33.7</v>
      </c>
      <c r="N26" s="79"/>
      <c r="O26" s="78">
        <f>O24+O22</f>
        <v>34</v>
      </c>
      <c r="P26" s="79"/>
      <c r="Q26" s="78">
        <f>Q24+Q22</f>
        <v>34.1</v>
      </c>
      <c r="R26" s="79"/>
      <c r="S26" s="78">
        <f>S24+S22</f>
        <v>34.241</v>
      </c>
      <c r="T26" s="79"/>
      <c r="U26" s="78">
        <f>U24+U22</f>
        <v>34.38341</v>
      </c>
      <c r="V26" s="52"/>
    </row>
    <row r="27" spans="1:24" s="19" customFormat="1" ht="12.75" customHeight="1">
      <c r="A27" s="49"/>
      <c r="B27" s="49"/>
      <c r="C27" s="49" t="s">
        <v>26</v>
      </c>
      <c r="D27" s="49"/>
      <c r="E27" s="49"/>
      <c r="F27" s="49"/>
      <c r="G27" s="50">
        <f>G26/G$7</f>
        <v>0.10706580366774542</v>
      </c>
      <c r="H27" s="49"/>
      <c r="I27" s="50">
        <f>I26/I$7</f>
        <v>0.07694327731092436</v>
      </c>
      <c r="J27" s="49"/>
      <c r="K27" s="50">
        <f>K26/K$7</f>
        <v>0.07627329192546585</v>
      </c>
      <c r="L27" s="49"/>
      <c r="M27" s="50">
        <f>M26/M$7</f>
        <v>0.07356472385941934</v>
      </c>
      <c r="N27" s="49"/>
      <c r="O27" s="50">
        <f>O26/O$7</f>
        <v>0.07264957264957266</v>
      </c>
      <c r="P27" s="49"/>
      <c r="Q27" s="50">
        <f>Q26/Q$7</f>
        <v>0.07247608926673751</v>
      </c>
      <c r="R27" s="49"/>
      <c r="S27" s="50">
        <f>S26/S$7</f>
        <v>0.0720552182742185</v>
      </c>
      <c r="T27" s="49"/>
      <c r="U27" s="50">
        <f>U26/U$7</f>
        <v>0.07163851432122936</v>
      </c>
      <c r="V27" s="51"/>
      <c r="X27" s="36"/>
    </row>
    <row r="28" spans="1:22" ht="4.5" customHeight="1">
      <c r="A28" s="6"/>
      <c r="B28" s="6"/>
      <c r="C28" s="6"/>
      <c r="D28" s="6"/>
      <c r="E28" s="6"/>
      <c r="F28" s="6"/>
      <c r="G28" s="6"/>
      <c r="H28" s="6"/>
      <c r="I28" s="6"/>
      <c r="J28" s="6"/>
      <c r="K28" s="6"/>
      <c r="L28" s="6"/>
      <c r="M28" s="6"/>
      <c r="N28" s="6"/>
      <c r="O28" s="6"/>
      <c r="P28" s="6"/>
      <c r="Q28" s="6"/>
      <c r="R28" s="6"/>
      <c r="S28" s="6"/>
      <c r="T28" s="6"/>
      <c r="U28" s="6"/>
      <c r="V28" s="52"/>
    </row>
    <row r="29" spans="1:22" s="37" customFormat="1" ht="12.75">
      <c r="A29" s="53"/>
      <c r="B29" s="53" t="s">
        <v>34</v>
      </c>
      <c r="C29" s="53"/>
      <c r="D29" s="53"/>
      <c r="E29" s="53"/>
      <c r="F29" s="53"/>
      <c r="G29" s="54">
        <v>16.5</v>
      </c>
      <c r="H29" s="53"/>
      <c r="I29" s="54">
        <v>13.4</v>
      </c>
      <c r="J29" s="53"/>
      <c r="K29" s="54">
        <v>11.3</v>
      </c>
      <c r="L29" s="53"/>
      <c r="M29" s="54">
        <v>10.8</v>
      </c>
      <c r="N29" s="53"/>
      <c r="O29" s="54">
        <v>10.6</v>
      </c>
      <c r="P29" s="53"/>
      <c r="Q29" s="54">
        <v>10.7</v>
      </c>
      <c r="R29" s="53"/>
      <c r="S29" s="55">
        <f>S30*S7</f>
        <v>10.806999999999999</v>
      </c>
      <c r="T29" s="53"/>
      <c r="U29" s="55">
        <f>U30*U7</f>
        <v>10.915069999999998</v>
      </c>
      <c r="V29" s="56"/>
    </row>
    <row r="30" spans="1:24" s="19" customFormat="1" ht="12.75" customHeight="1">
      <c r="A30" s="49"/>
      <c r="B30" s="49"/>
      <c r="C30" s="49" t="s">
        <v>26</v>
      </c>
      <c r="D30" s="49"/>
      <c r="E30" s="49"/>
      <c r="F30" s="49"/>
      <c r="G30" s="50">
        <f>G29/G$7</f>
        <v>0.04449838187702265</v>
      </c>
      <c r="H30" s="49"/>
      <c r="I30" s="50">
        <f>I29/I$7</f>
        <v>0.0351890756302521</v>
      </c>
      <c r="J30" s="49"/>
      <c r="K30" s="50">
        <f>K29/K$7</f>
        <v>0.028074534161490684</v>
      </c>
      <c r="L30" s="49"/>
      <c r="M30" s="50">
        <f>M29/M$7</f>
        <v>0.023575638506876228</v>
      </c>
      <c r="N30" s="49"/>
      <c r="O30" s="50">
        <f>O29/O$7</f>
        <v>0.02264957264957265</v>
      </c>
      <c r="P30" s="49"/>
      <c r="Q30" s="50">
        <f>Q29/Q$7</f>
        <v>0.022741764080765142</v>
      </c>
      <c r="R30" s="49"/>
      <c r="S30" s="57">
        <f>Q30</f>
        <v>0.022741764080765142</v>
      </c>
      <c r="T30" s="49"/>
      <c r="U30" s="50">
        <f>S30</f>
        <v>0.022741764080765142</v>
      </c>
      <c r="V30" s="51"/>
      <c r="X30" s="36"/>
    </row>
    <row r="31" spans="1:22" ht="4.5" customHeight="1">
      <c r="A31" s="6"/>
      <c r="B31" s="6"/>
      <c r="C31" s="6"/>
      <c r="D31" s="6"/>
      <c r="E31" s="6"/>
      <c r="F31" s="6"/>
      <c r="G31" s="6"/>
      <c r="H31" s="6"/>
      <c r="I31" s="6"/>
      <c r="J31" s="6"/>
      <c r="K31" s="6"/>
      <c r="L31" s="6"/>
      <c r="M31" s="6"/>
      <c r="N31" s="6"/>
      <c r="O31" s="6"/>
      <c r="P31" s="6"/>
      <c r="Q31" s="6"/>
      <c r="R31" s="6"/>
      <c r="S31" s="6"/>
      <c r="T31" s="6"/>
      <c r="U31" s="6"/>
      <c r="V31" s="52"/>
    </row>
    <row r="32" spans="1:24" s="10" customFormat="1" ht="12.75">
      <c r="A32" s="46"/>
      <c r="B32" s="46" t="s">
        <v>35</v>
      </c>
      <c r="C32" s="46"/>
      <c r="D32" s="46"/>
      <c r="E32" s="46"/>
      <c r="F32" s="46"/>
      <c r="G32" s="47">
        <f>G19-G26-G29</f>
        <v>85.50000000000001</v>
      </c>
      <c r="H32" s="46"/>
      <c r="I32" s="47">
        <f>I19-I26-I29</f>
        <v>87.60000000000001</v>
      </c>
      <c r="J32" s="46"/>
      <c r="K32" s="47">
        <f>K19-K26-K29</f>
        <v>78.00000000000001</v>
      </c>
      <c r="L32" s="46"/>
      <c r="M32" s="47">
        <f>M19-M26-M29</f>
        <v>85.70000000000005</v>
      </c>
      <c r="N32" s="46"/>
      <c r="O32" s="47">
        <f>O19-O26-O29</f>
        <v>81.89999999999999</v>
      </c>
      <c r="P32" s="46"/>
      <c r="Q32" s="47">
        <f>Q19-Q26-Q29</f>
        <v>81.10000000000001</v>
      </c>
      <c r="R32" s="46"/>
      <c r="S32" s="47">
        <f>S19-S26-S29</f>
        <v>82.111</v>
      </c>
      <c r="T32" s="46"/>
      <c r="U32" s="47">
        <f>U19-U26-U29</f>
        <v>83.13211000000003</v>
      </c>
      <c r="V32" s="48"/>
      <c r="X32" s="33">
        <f>(U32/M32)^(1/(U$5-$M$5))-1</f>
        <v>-0.0075766008655852035</v>
      </c>
    </row>
    <row r="33" spans="1:24" s="19" customFormat="1" ht="12.75" customHeight="1">
      <c r="A33" s="49"/>
      <c r="B33" s="49"/>
      <c r="C33" s="49" t="s">
        <v>28</v>
      </c>
      <c r="D33" s="49"/>
      <c r="E33" s="49"/>
      <c r="F33" s="49"/>
      <c r="G33" s="50">
        <f>G32/G$7</f>
        <v>0.2305825242718447</v>
      </c>
      <c r="H33" s="49"/>
      <c r="I33" s="50">
        <f>I32/I$7</f>
        <v>0.2300420168067227</v>
      </c>
      <c r="J33" s="49"/>
      <c r="K33" s="50">
        <f>K32/K$7</f>
        <v>0.19378881987577642</v>
      </c>
      <c r="L33" s="49"/>
      <c r="M33" s="50">
        <f>M32/M$7</f>
        <v>0.18707705741104572</v>
      </c>
      <c r="N33" s="49"/>
      <c r="O33" s="50">
        <f>O32/O$7</f>
        <v>0.175</v>
      </c>
      <c r="P33" s="49"/>
      <c r="Q33" s="50">
        <f>Q32/Q$7</f>
        <v>0.17236981934112647</v>
      </c>
      <c r="R33" s="49"/>
      <c r="S33" s="50">
        <f>S32/S$7</f>
        <v>0.1727906903336455</v>
      </c>
      <c r="T33" s="49"/>
      <c r="U33" s="50">
        <f>U32/U$7</f>
        <v>0.17320739428663467</v>
      </c>
      <c r="V33" s="51"/>
      <c r="X33" s="36"/>
    </row>
    <row r="34" spans="1:22" ht="4.5" customHeight="1">
      <c r="A34" s="6"/>
      <c r="B34" s="6"/>
      <c r="C34" s="6"/>
      <c r="D34" s="6"/>
      <c r="E34" s="6"/>
      <c r="F34" s="6"/>
      <c r="G34" s="6"/>
      <c r="H34" s="6"/>
      <c r="I34" s="6"/>
      <c r="J34" s="6"/>
      <c r="K34" s="6"/>
      <c r="L34" s="6"/>
      <c r="M34" s="6"/>
      <c r="N34" s="6"/>
      <c r="O34" s="6"/>
      <c r="P34" s="6"/>
      <c r="Q34" s="6"/>
      <c r="R34" s="6"/>
      <c r="S34" s="6"/>
      <c r="T34" s="6"/>
      <c r="U34" s="6"/>
      <c r="V34" s="52"/>
    </row>
    <row r="35" spans="1:24" s="10" customFormat="1" ht="12.75">
      <c r="A35" s="46"/>
      <c r="B35" s="46" t="s">
        <v>36</v>
      </c>
      <c r="C35" s="46"/>
      <c r="D35" s="46"/>
      <c r="E35" s="46"/>
      <c r="F35" s="46"/>
      <c r="G35" s="47">
        <f>G32+G24+G29</f>
        <v>127.70000000000002</v>
      </c>
      <c r="H35" s="46"/>
      <c r="I35" s="47">
        <f>I32+I24+I29</f>
        <v>119.20000000000002</v>
      </c>
      <c r="J35" s="46"/>
      <c r="K35" s="47">
        <f>K32+K24+K29</f>
        <v>107.90000000000002</v>
      </c>
      <c r="L35" s="46"/>
      <c r="M35" s="47">
        <f>M32+M24+M29</f>
        <v>116.10000000000004</v>
      </c>
      <c r="N35" s="46"/>
      <c r="O35" s="47">
        <f>O32+O24+O29</f>
        <v>112.39999999999998</v>
      </c>
      <c r="P35" s="46"/>
      <c r="Q35" s="47">
        <f>Q32+Q24+Q29</f>
        <v>111.80000000000001</v>
      </c>
      <c r="R35" s="46"/>
      <c r="S35" s="47">
        <f>S32+S24+S29</f>
        <v>112.918</v>
      </c>
      <c r="T35" s="46"/>
      <c r="U35" s="47">
        <f>U32+U24+U29</f>
        <v>114.04718000000003</v>
      </c>
      <c r="V35" s="48"/>
      <c r="X35" s="33">
        <f>(U35/M35)^(1/(U$5-$M$5))-1</f>
        <v>-0.004449985910014886</v>
      </c>
    </row>
    <row r="36" spans="1:24" s="19" customFormat="1" ht="12.75" customHeight="1">
      <c r="A36" s="49"/>
      <c r="B36" s="49"/>
      <c r="C36" s="49" t="s">
        <v>28</v>
      </c>
      <c r="D36" s="49"/>
      <c r="E36" s="49"/>
      <c r="F36" s="49"/>
      <c r="G36" s="50">
        <f>G35/G$7</f>
        <v>0.3443905070118663</v>
      </c>
      <c r="H36" s="49"/>
      <c r="I36" s="50">
        <f>I35/I$7</f>
        <v>0.31302521008403367</v>
      </c>
      <c r="J36" s="49"/>
      <c r="K36" s="50">
        <f>K35/K$7</f>
        <v>0.26807453416149074</v>
      </c>
      <c r="L36" s="49"/>
      <c r="M36" s="50">
        <f>M35/M$7</f>
        <v>0.2534381139489195</v>
      </c>
      <c r="N36" s="49"/>
      <c r="O36" s="50">
        <f>O35/O$7</f>
        <v>0.24017094017094012</v>
      </c>
      <c r="P36" s="49"/>
      <c r="Q36" s="50">
        <f>Q35/Q$7</f>
        <v>0.23761955366631246</v>
      </c>
      <c r="R36" s="49"/>
      <c r="S36" s="50">
        <f>S35/S$7</f>
        <v>0.23761955366631246</v>
      </c>
      <c r="T36" s="49"/>
      <c r="U36" s="50">
        <f>U35/U$7</f>
        <v>0.2376195536663125</v>
      </c>
      <c r="V36" s="51"/>
      <c r="X36" s="36"/>
    </row>
    <row r="37" spans="1:22" ht="4.5" customHeight="1">
      <c r="A37" s="58"/>
      <c r="B37" s="58"/>
      <c r="C37" s="58"/>
      <c r="D37" s="58"/>
      <c r="E37" s="58"/>
      <c r="F37" s="58"/>
      <c r="G37" s="58"/>
      <c r="H37" s="58"/>
      <c r="I37" s="58"/>
      <c r="J37" s="58"/>
      <c r="K37" s="58"/>
      <c r="L37" s="58"/>
      <c r="M37" s="58"/>
      <c r="N37" s="58"/>
      <c r="O37" s="58"/>
      <c r="P37" s="58"/>
      <c r="Q37" s="58"/>
      <c r="R37" s="58"/>
      <c r="S37" s="58"/>
      <c r="T37" s="58"/>
      <c r="U37" s="58"/>
      <c r="V37" s="59"/>
    </row>
    <row r="38" ht="4.5" customHeight="1">
      <c r="C38" s="60"/>
    </row>
    <row r="39" spans="2:21" s="37" customFormat="1" ht="12.75">
      <c r="B39" s="37" t="s">
        <v>37</v>
      </c>
      <c r="G39" s="38">
        <v>4.9</v>
      </c>
      <c r="I39" s="38">
        <v>0.9</v>
      </c>
      <c r="K39" s="61">
        <v>0</v>
      </c>
      <c r="M39" s="38">
        <v>-2.4</v>
      </c>
      <c r="O39" s="61">
        <v>0</v>
      </c>
      <c r="P39" s="5"/>
      <c r="Q39" s="61">
        <v>0</v>
      </c>
      <c r="S39" s="62">
        <f>Q39</f>
        <v>0</v>
      </c>
      <c r="T39" s="63"/>
      <c r="U39" s="62">
        <f>S39</f>
        <v>0</v>
      </c>
    </row>
    <row r="40" spans="2:21" ht="12.75">
      <c r="B40" t="s">
        <v>38</v>
      </c>
      <c r="G40" s="61">
        <v>0</v>
      </c>
      <c r="I40" s="61">
        <v>0</v>
      </c>
      <c r="K40" s="61">
        <v>0</v>
      </c>
      <c r="M40" s="61">
        <v>0</v>
      </c>
      <c r="O40" s="61">
        <v>0</v>
      </c>
      <c r="Q40" s="61">
        <v>0</v>
      </c>
      <c r="S40" s="62">
        <f>Q40</f>
        <v>0</v>
      </c>
      <c r="T40" s="63"/>
      <c r="U40" s="62">
        <f>S40</f>
        <v>0</v>
      </c>
    </row>
    <row r="41" spans="2:21" ht="12.75">
      <c r="B41" t="s">
        <v>39</v>
      </c>
      <c r="G41" s="61">
        <v>0</v>
      </c>
      <c r="I41" s="61">
        <v>0</v>
      </c>
      <c r="K41" s="61">
        <v>0</v>
      </c>
      <c r="M41" s="61">
        <v>0</v>
      </c>
      <c r="O41" s="61">
        <v>0</v>
      </c>
      <c r="Q41" s="61">
        <v>0</v>
      </c>
      <c r="S41" s="62">
        <f>Q41</f>
        <v>0</v>
      </c>
      <c r="T41" s="63"/>
      <c r="U41" s="62">
        <f>S41</f>
        <v>0</v>
      </c>
    </row>
    <row r="42" spans="2:21" s="37" customFormat="1" ht="13.5" customHeight="1" thickBot="1">
      <c r="B42" s="37" t="s">
        <v>40</v>
      </c>
      <c r="G42" s="38">
        <v>0.1</v>
      </c>
      <c r="I42" s="61">
        <v>0</v>
      </c>
      <c r="K42" s="61">
        <v>0</v>
      </c>
      <c r="M42" s="64">
        <v>-0.1</v>
      </c>
      <c r="N42" s="5"/>
      <c r="O42" s="61">
        <v>0</v>
      </c>
      <c r="P42" s="5"/>
      <c r="Q42" s="61">
        <v>0</v>
      </c>
      <c r="R42" s="5"/>
      <c r="S42" s="62">
        <f>Q42</f>
        <v>0</v>
      </c>
      <c r="T42" s="65"/>
      <c r="U42" s="62">
        <f>S42</f>
        <v>0</v>
      </c>
    </row>
    <row r="43" spans="2:24" ht="12.75">
      <c r="B43" t="s">
        <v>41</v>
      </c>
      <c r="G43" s="42">
        <f>G35-SUM(G39:G42)</f>
        <v>122.70000000000002</v>
      </c>
      <c r="I43" s="42">
        <f>I35-SUM(I39:I42)</f>
        <v>118.30000000000001</v>
      </c>
      <c r="K43" s="42">
        <f>K35-SUM(K39:K42)</f>
        <v>107.90000000000002</v>
      </c>
      <c r="L43" s="66"/>
      <c r="M43" s="42">
        <f>M35-SUM(M39:M42)</f>
        <v>118.60000000000004</v>
      </c>
      <c r="O43" s="42">
        <f>O35-SUM(O39:O42)</f>
        <v>112.39999999999998</v>
      </c>
      <c r="Q43" s="42">
        <f>Q35-SUM(Q39:Q42)</f>
        <v>111.80000000000001</v>
      </c>
      <c r="R43" s="66"/>
      <c r="S43" s="42">
        <f>S35-SUM(S39:S42)</f>
        <v>112.918</v>
      </c>
      <c r="U43" s="42">
        <f>U35-SUM(U39:U42)</f>
        <v>114.04718000000003</v>
      </c>
      <c r="X43" s="33">
        <f>(U43/M43)^(1/(U$5-$M$5))-1</f>
        <v>-0.009738338305643857</v>
      </c>
    </row>
    <row r="44" ht="4.5" customHeight="1"/>
    <row r="45" spans="2:24" s="37" customFormat="1" ht="12.75">
      <c r="B45" s="37" t="s">
        <v>42</v>
      </c>
      <c r="G45" s="39">
        <f>G46*G43</f>
        <v>42.945</v>
      </c>
      <c r="I45" s="39">
        <f>I46*I43</f>
        <v>41.405</v>
      </c>
      <c r="K45" s="39">
        <f>K46*K43</f>
        <v>37.76500000000001</v>
      </c>
      <c r="M45" s="39">
        <f>M46*M43</f>
        <v>41.51000000000001</v>
      </c>
      <c r="O45" s="39">
        <f>O46*O43</f>
        <v>39.33999999999999</v>
      </c>
      <c r="Q45" s="39">
        <f>Q46*Q43</f>
        <v>39.13</v>
      </c>
      <c r="S45" s="39">
        <f>S46*S43</f>
        <v>39.5213</v>
      </c>
      <c r="U45" s="39">
        <f>U46*U43</f>
        <v>39.91651300000001</v>
      </c>
      <c r="X45" s="5"/>
    </row>
    <row r="46" spans="3:24" s="19" customFormat="1" ht="12.75" customHeight="1" thickBot="1">
      <c r="C46" s="19" t="s">
        <v>43</v>
      </c>
      <c r="G46" s="35">
        <v>0.35</v>
      </c>
      <c r="I46" s="67">
        <f>G46</f>
        <v>0.35</v>
      </c>
      <c r="K46" s="67">
        <f>I46</f>
        <v>0.35</v>
      </c>
      <c r="M46" s="67">
        <f>K46</f>
        <v>0.35</v>
      </c>
      <c r="O46" s="67">
        <f>M46</f>
        <v>0.35</v>
      </c>
      <c r="Q46" s="67">
        <f>O46</f>
        <v>0.35</v>
      </c>
      <c r="S46" s="67">
        <f>Q46</f>
        <v>0.35</v>
      </c>
      <c r="U46" s="67">
        <f>S46</f>
        <v>0.35</v>
      </c>
      <c r="X46" s="37"/>
    </row>
    <row r="47" spans="7:24" ht="4.5" customHeight="1">
      <c r="G47" s="42"/>
      <c r="I47" s="42"/>
      <c r="K47" s="42"/>
      <c r="M47" s="42"/>
      <c r="O47" s="42"/>
      <c r="Q47" s="42"/>
      <c r="S47" s="42"/>
      <c r="U47" s="42"/>
      <c r="X47" s="36"/>
    </row>
    <row r="48" spans="2:24" s="10" customFormat="1" ht="12.75">
      <c r="B48" s="10" t="s">
        <v>44</v>
      </c>
      <c r="G48" s="32">
        <f>G43-G45</f>
        <v>79.75500000000002</v>
      </c>
      <c r="H48" s="32"/>
      <c r="I48" s="32">
        <f>I43-I45</f>
        <v>76.89500000000001</v>
      </c>
      <c r="K48" s="32">
        <f>K43-K45</f>
        <v>70.13500000000002</v>
      </c>
      <c r="M48" s="32">
        <f>M43-M45</f>
        <v>77.09000000000003</v>
      </c>
      <c r="O48" s="32">
        <f>O43-O45</f>
        <v>73.05999999999999</v>
      </c>
      <c r="Q48" s="32">
        <f>Q43-Q45</f>
        <v>72.67000000000002</v>
      </c>
      <c r="S48" s="32">
        <f>S43-S45</f>
        <v>73.39670000000001</v>
      </c>
      <c r="U48" s="32">
        <f>U43-U45</f>
        <v>74.13066700000002</v>
      </c>
      <c r="X48" s="33">
        <f>(U48/M48)^(1/(U$5-$M$5))-1</f>
        <v>-0.009738338305643857</v>
      </c>
    </row>
    <row r="49" spans="3:21" s="19" customFormat="1" ht="12.75" customHeight="1">
      <c r="C49" s="19" t="s">
        <v>28</v>
      </c>
      <c r="G49" s="40">
        <f>G48/G$7</f>
        <v>0.2150889967637541</v>
      </c>
      <c r="I49" s="40">
        <f>I48/I$7</f>
        <v>0.20193014705882356</v>
      </c>
      <c r="K49" s="40">
        <f>K48/K$7</f>
        <v>0.174248447204969</v>
      </c>
      <c r="M49" s="40">
        <f>M48/M$7</f>
        <v>0.16828203449028603</v>
      </c>
      <c r="O49" s="40">
        <f>O48/O$7</f>
        <v>0.1561111111111111</v>
      </c>
      <c r="Q49" s="40">
        <f>Q48/Q$7</f>
        <v>0.1544527098831031</v>
      </c>
      <c r="S49" s="40">
        <f>S48/S$7</f>
        <v>0.1544527098831031</v>
      </c>
      <c r="U49" s="40">
        <f>U48/U$7</f>
        <v>0.1544527098831031</v>
      </c>
    </row>
    <row r="50" ht="4.5" customHeight="1">
      <c r="X50" s="36"/>
    </row>
    <row r="51" spans="1:24" s="10" customFormat="1" ht="12.75">
      <c r="A51" s="68"/>
      <c r="B51" s="68" t="s">
        <v>45</v>
      </c>
      <c r="C51" s="68"/>
      <c r="D51" s="68"/>
      <c r="E51" s="68"/>
      <c r="F51" s="68"/>
      <c r="G51" s="69">
        <f>G48/G53</f>
        <v>2.2745550992470918</v>
      </c>
      <c r="H51" s="68"/>
      <c r="I51" s="69">
        <f>I48/I53</f>
        <v>2.269628099173554</v>
      </c>
      <c r="J51" s="68"/>
      <c r="K51" s="69">
        <f>K48/K53</f>
        <v>1.971191680719506</v>
      </c>
      <c r="L51" s="68"/>
      <c r="M51" s="69">
        <f>M48/M53</f>
        <v>2.136640798226165</v>
      </c>
      <c r="N51" s="68"/>
      <c r="O51" s="69">
        <f>O48/O53</f>
        <v>1.997266265718972</v>
      </c>
      <c r="P51" s="68"/>
      <c r="Q51" s="69">
        <f>Q48/Q53</f>
        <v>1.9866047020229638</v>
      </c>
      <c r="R51" s="68"/>
      <c r="S51" s="69">
        <f>S48/S53</f>
        <v>2.0064707490431934</v>
      </c>
      <c r="T51" s="68"/>
      <c r="U51" s="69">
        <f>U48/U53</f>
        <v>2.0265354565336255</v>
      </c>
      <c r="V51" s="70"/>
      <c r="X51" s="33">
        <f>(U51/M51)^(1/(U$5-$M$5))-1</f>
        <v>-0.01313971321355989</v>
      </c>
    </row>
    <row r="52" ht="4.5" customHeight="1"/>
    <row r="53" spans="2:21" ht="12.75">
      <c r="B53" t="s">
        <v>46</v>
      </c>
      <c r="G53" s="71">
        <v>35.064</v>
      </c>
      <c r="H53" s="71"/>
      <c r="I53" s="71">
        <v>33.88</v>
      </c>
      <c r="J53" s="71"/>
      <c r="K53" s="71">
        <v>35.58</v>
      </c>
      <c r="L53" s="71"/>
      <c r="M53" s="71">
        <v>36.08</v>
      </c>
      <c r="N53" s="71"/>
      <c r="O53" s="71">
        <v>36.58</v>
      </c>
      <c r="P53" s="71"/>
      <c r="Q53" s="71">
        <v>36.58</v>
      </c>
      <c r="R53" s="72"/>
      <c r="S53" s="73">
        <f>Q53</f>
        <v>36.58</v>
      </c>
      <c r="T53" s="73"/>
      <c r="U53" s="73">
        <f>S53</f>
        <v>36.58</v>
      </c>
    </row>
    <row r="55" ht="12.75">
      <c r="B55" s="10" t="s">
        <v>47</v>
      </c>
    </row>
    <row r="56" spans="3:21" ht="12.75">
      <c r="C56" t="s">
        <v>32</v>
      </c>
      <c r="G56" s="74">
        <f>G24*(1-G46)</f>
        <v>16.705000000000002</v>
      </c>
      <c r="I56" s="74">
        <f>I24*(1-I46)</f>
        <v>11.83</v>
      </c>
      <c r="K56" s="74">
        <f>K24*(1-K46)</f>
        <v>12.090000000000002</v>
      </c>
      <c r="M56" s="74">
        <f>M24*(1-M46)</f>
        <v>12.740000000000002</v>
      </c>
      <c r="O56" s="74">
        <f>O24*(1-O46)</f>
        <v>12.934999999999999</v>
      </c>
      <c r="Q56" s="74">
        <f>Q24*(1-Q46)</f>
        <v>13</v>
      </c>
      <c r="S56" s="74">
        <f>S24*(1-S46)</f>
        <v>13</v>
      </c>
      <c r="U56" s="74">
        <f>U24*(1-U46)</f>
        <v>13</v>
      </c>
    </row>
    <row r="57" spans="3:21" ht="12.75">
      <c r="C57" t="s">
        <v>34</v>
      </c>
      <c r="G57" s="39">
        <f>G29*(1-G46)</f>
        <v>10.725</v>
      </c>
      <c r="I57" s="39">
        <f>I29*(1-I46)</f>
        <v>8.71</v>
      </c>
      <c r="K57" s="39">
        <f>K29*(1-K46)</f>
        <v>7.345000000000001</v>
      </c>
      <c r="M57" s="39">
        <f>M29*(1-M46)</f>
        <v>7.0200000000000005</v>
      </c>
      <c r="O57" s="39">
        <f>O29*(1-O46)</f>
        <v>6.89</v>
      </c>
      <c r="Q57" s="39">
        <f>Q29*(1-Q46)</f>
        <v>6.955</v>
      </c>
      <c r="S57" s="39">
        <f>S29*(1-S46)</f>
        <v>7.02455</v>
      </c>
      <c r="U57" s="39">
        <f>U29*(1-U46)</f>
        <v>7.094795499999999</v>
      </c>
    </row>
    <row r="58" spans="3:21" ht="13.5" customHeight="1" thickBot="1">
      <c r="C58" t="s">
        <v>48</v>
      </c>
      <c r="G58" s="38">
        <v>8.2</v>
      </c>
      <c r="I58" s="38">
        <v>3.4</v>
      </c>
      <c r="K58" s="38">
        <v>0.7</v>
      </c>
      <c r="M58" s="64">
        <v>0.1</v>
      </c>
      <c r="N58" s="63"/>
      <c r="O58" s="61">
        <v>0</v>
      </c>
      <c r="P58" s="63"/>
      <c r="Q58" s="61">
        <v>0</v>
      </c>
      <c r="R58" s="63"/>
      <c r="S58" s="62">
        <f>Q58</f>
        <v>0</v>
      </c>
      <c r="T58" s="63"/>
      <c r="U58" s="62">
        <f>S58</f>
        <v>0</v>
      </c>
    </row>
    <row r="59" spans="7:21" ht="4.5" customHeight="1">
      <c r="G59" s="42"/>
      <c r="I59" s="42"/>
      <c r="K59" s="42"/>
      <c r="M59" s="42"/>
      <c r="O59" s="75"/>
      <c r="Q59" s="75"/>
      <c r="S59" s="75"/>
      <c r="U59" s="75"/>
    </row>
    <row r="60" spans="2:24" s="10" customFormat="1" ht="12.75">
      <c r="B60" s="10" t="s">
        <v>49</v>
      </c>
      <c r="G60" s="32">
        <f>G48-SUM(G56:G58)</f>
        <v>44.12500000000003</v>
      </c>
      <c r="I60" s="32">
        <f>I48-SUM(I56:I58)</f>
        <v>52.95500000000001</v>
      </c>
      <c r="K60" s="32">
        <f>K48-SUM(K56:K58)</f>
        <v>50.000000000000014</v>
      </c>
      <c r="M60" s="32">
        <f>M48-SUM(M56:M58)</f>
        <v>57.23000000000003</v>
      </c>
      <c r="O60" s="32">
        <f>O48-SUM(O56:O58)</f>
        <v>53.234999999999985</v>
      </c>
      <c r="Q60" s="32">
        <f>Q48-SUM(Q56:Q58)</f>
        <v>52.71500000000002</v>
      </c>
      <c r="S60" s="32">
        <f>S48-SUM(S56:S58)</f>
        <v>53.37215000000001</v>
      </c>
      <c r="U60" s="32">
        <f>U48-SUM(U56:U58)</f>
        <v>54.03587150000001</v>
      </c>
      <c r="X60" s="33">
        <f>(U60/M60)^(1/(U$5-$M$5))-1</f>
        <v>-0.014254953002548976</v>
      </c>
    </row>
    <row r="61" spans="3:21" s="19" customFormat="1" ht="12.75" customHeight="1">
      <c r="C61" s="19" t="s">
        <v>28</v>
      </c>
      <c r="G61" s="40">
        <f>G60/G$7</f>
        <v>0.11899946062567429</v>
      </c>
      <c r="I61" s="40">
        <f>I60/I$7</f>
        <v>0.13906250000000003</v>
      </c>
      <c r="K61" s="40">
        <f>K60/K$7</f>
        <v>0.12422360248447209</v>
      </c>
      <c r="M61" s="40">
        <f>M60/M$7</f>
        <v>0.1249290547915303</v>
      </c>
      <c r="O61" s="40">
        <f>O60/O$7</f>
        <v>0.11374999999999996</v>
      </c>
      <c r="Q61" s="40">
        <f>Q60/Q$7</f>
        <v>0.11204038257173224</v>
      </c>
      <c r="S61" s="40">
        <f>S60/S$7</f>
        <v>0.11231394871686959</v>
      </c>
      <c r="U61" s="40">
        <f>U60/U$7</f>
        <v>0.11258480628631252</v>
      </c>
    </row>
    <row r="62" ht="4.5" customHeight="1">
      <c r="X62" s="36"/>
    </row>
    <row r="63" spans="1:24" ht="12.75">
      <c r="A63" s="68"/>
      <c r="B63" s="68" t="s">
        <v>50</v>
      </c>
      <c r="C63" s="68"/>
      <c r="D63" s="68"/>
      <c r="E63" s="68"/>
      <c r="F63" s="68"/>
      <c r="G63" s="69">
        <f>G60/G53</f>
        <v>1.2584131873146256</v>
      </c>
      <c r="H63" s="68"/>
      <c r="I63" s="69">
        <f>I60/I53</f>
        <v>1.5630165289256202</v>
      </c>
      <c r="J63" s="68"/>
      <c r="K63" s="69">
        <f>K60/K53</f>
        <v>1.4052838673412034</v>
      </c>
      <c r="L63" s="68"/>
      <c r="M63" s="69">
        <f>M60/M53</f>
        <v>1.5861973392461206</v>
      </c>
      <c r="N63" s="68"/>
      <c r="O63" s="69">
        <f>O60/O53</f>
        <v>1.4553034445051938</v>
      </c>
      <c r="P63" s="68"/>
      <c r="Q63" s="69">
        <f>Q60/Q53</f>
        <v>1.4410880262438497</v>
      </c>
      <c r="R63" s="68"/>
      <c r="S63" s="69">
        <f>S60/S53</f>
        <v>1.4590527610716242</v>
      </c>
      <c r="T63" s="68"/>
      <c r="U63" s="69">
        <f>U60/U53</f>
        <v>1.4771971432476767</v>
      </c>
      <c r="V63" s="70"/>
      <c r="X63" s="33">
        <f>(U63/M63)^(1/(U$5-$M$5))-1</f>
        <v>-0.017640814132144578</v>
      </c>
    </row>
    <row r="65" spans="2:21" s="76" customFormat="1" ht="12.75" customHeight="1">
      <c r="B65" s="76" t="s">
        <v>51</v>
      </c>
      <c r="G65" s="77">
        <v>26</v>
      </c>
      <c r="I65" s="77">
        <v>12.5</v>
      </c>
      <c r="K65" s="77">
        <v>18</v>
      </c>
      <c r="M65" s="77">
        <v>16</v>
      </c>
      <c r="O65" s="77">
        <v>14.1</v>
      </c>
      <c r="Q65" s="74">
        <f>Q66*Q7</f>
        <v>14.175320512820512</v>
      </c>
      <c r="S65" s="74">
        <f>S66*S7</f>
        <v>14.317073717948718</v>
      </c>
      <c r="U65" s="74">
        <f>U66*U7</f>
        <v>14.460244455128205</v>
      </c>
    </row>
    <row r="66" spans="1:23" s="19" customFormat="1" ht="12.75" customHeight="1">
      <c r="A66" s="49"/>
      <c r="B66" s="49"/>
      <c r="C66" s="49" t="s">
        <v>26</v>
      </c>
      <c r="D66" s="49"/>
      <c r="E66" s="49"/>
      <c r="F66" s="49"/>
      <c r="G66" s="50">
        <f>G65/G$7</f>
        <v>0.07011866235167206</v>
      </c>
      <c r="H66" s="49"/>
      <c r="I66" s="50">
        <f>I65/I$7</f>
        <v>0.03282563025210084</v>
      </c>
      <c r="J66" s="49"/>
      <c r="K66" s="50">
        <f>K65/K$7</f>
        <v>0.04472049689440994</v>
      </c>
      <c r="L66" s="49"/>
      <c r="M66" s="50">
        <f>M65/M$7</f>
        <v>0.034926871862038855</v>
      </c>
      <c r="N66" s="49"/>
      <c r="O66" s="50">
        <f>O65/O$7</f>
        <v>0.03012820512820513</v>
      </c>
      <c r="P66" s="49"/>
      <c r="Q66" s="50">
        <f>O66</f>
        <v>0.03012820512820513</v>
      </c>
      <c r="R66" s="49"/>
      <c r="S66" s="50">
        <f>Q66</f>
        <v>0.03012820512820513</v>
      </c>
      <c r="T66" s="49"/>
      <c r="U66" s="50">
        <f>S66</f>
        <v>0.03012820512820513</v>
      </c>
      <c r="V66" s="49"/>
      <c r="W66" s="4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2009-06-11T16:36:02Z</dcterms:created>
  <dcterms:modified xsi:type="dcterms:W3CDTF">2009-06-17T23:19:44Z</dcterms:modified>
  <cp:category/>
  <cp:version/>
  <cp:contentType/>
  <cp:contentStatus/>
</cp:coreProperties>
</file>