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showInkAnnotation="0" updateLinks="never" codeName="ThisWorkbook" defaultThemeVersion="124226"/>
  <mc:AlternateContent xmlns:mc="http://schemas.openxmlformats.org/markup-compatibility/2006">
    <mc:Choice Requires="x15">
      <x15ac:absPath xmlns:x15ac="http://schemas.microsoft.com/office/spreadsheetml/2010/11/ac" url="G:\Shared drives\Non Course Content\Macabacus Learning Resources\Complete Models - Complete\"/>
    </mc:Choice>
  </mc:AlternateContent>
  <xr:revisionPtr revIDLastSave="0" documentId="13_ncr:1_{9E4F2B9B-DD2F-4C16-9E5E-A462167E9B1F}" xr6:coauthVersionLast="47" xr6:coauthVersionMax="47" xr10:uidLastSave="{00000000-0000-0000-0000-000000000000}"/>
  <bookViews>
    <workbookView xWindow="-96" yWindow="-96" windowWidth="23232" windowHeight="12696" tabRatio="854" xr2:uid="{00000000-000D-0000-FFFF-FFFF00000000}"/>
  </bookViews>
  <sheets>
    <sheet name="Cover Page" sheetId="23" r:id="rId1"/>
    <sheet name="__FDSCACHE__" sheetId="20" state="veryHidden" r:id="rId2"/>
    <sheet name="Model" sheetId="22" r:id="rId3"/>
  </sheets>
  <externalReferences>
    <externalReference r:id="rId4"/>
  </externalReferences>
  <definedNames>
    <definedName name="__PRN2">{"adj95mult",#N/A,FALSE,"COMPCO";"adj95est",#N/A,FALSE,"COMPCO"}</definedName>
    <definedName name="_1__FDSAUDITLINK__">{"fdsup://directions/FAT Viewer?action=UPDATE&amp;creator=factset&amp;DYN_ARGS=TRUE&amp;DOC_NAME=FAT:FQL_AUDITING_CLIENT_TEMPLATE.FAT&amp;display_string=Audit&amp;VAR:KEY=QDWBINOJIH&amp;VAR:QUERY=UkdGX1BCS19UQU5HKFFUUiwwLCwsLCwsTk9BVURJVCk=&amp;WINDOW=FIRST_POPUP&amp;HEIGHT=450&amp;WIDTH=450&amp;","START_MAXIMIZED=FALSE&amp;VAR:CALENDAR=US&amp;VAR:SYMBOL=PACW&amp;VAR:INDEX=0"}</definedName>
    <definedName name="_2__FDSAUDITLINK__">{"fdsup://directions/FAT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3__FDSAUDITLINK__">{"fdsup://directions/FAT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4__FDSAUDITLINK__">{"fdsup://directions/FAT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5__FDSAUDITLINK__">{"fdsup://directions/FAT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PRN2">{"adj95mult",#N/A,FALSE,"COMPCO";"adj95est",#N/A,FALSE,"COMPCO"}</definedName>
    <definedName name="_tags1" localSheetId="1" hidden="1">"&lt;tags&gt;&lt;tag n=""Palette"" v=""-1"" /&gt;&lt;tag n=""ClosestPalette"" v=""1"" /&gt;&lt;/tags&gt;"</definedName>
    <definedName name="_tags1" localSheetId="2" hidden="1">"&lt;tags&gt;&lt;tag n=""Palette"" v=""-1"" /&gt;&lt;tag n=""ClosestPalette"" v=""1"" /&gt;&lt;/tags&gt;"</definedName>
    <definedName name="aa">{"DCF1",#N/A,FALSE,"SIERRA DCF";"MATRIX1",#N/A,FALSE,"SIERRA DCF"}</definedName>
    <definedName name="aaa">{"adj95mult",#N/A,FALSE,"COMPCO";"adj95est",#N/A,FALSE,"COMPCO"}</definedName>
    <definedName name="casds">{"DCF1",#N/A,FALSE,"SIERRA DCF";"MATRIX1",#N/A,FALSE,"SIERRA DCF"}</definedName>
    <definedName name="CIQWBGuid" hidden="1">"2cd8126d-26c3-430c-b7fa-a069e3a1fc62"</definedName>
    <definedName name="dafdsf">{"qchm_dcf",#N/A,FALSE,"QCHMDCF2";"qchm_terminal",#N/A,FALSE,"QCHMDCF2"}</definedName>
    <definedName name="ddd">{"adj95mult",#N/A,FALSE,"COMPCO";"adj95est",#N/A,FALSE,"COMPCO"}</definedName>
    <definedName name="dfa">{"Acq_matrix",#N/A,FALSE,"Acquisition Matrix"}</definedName>
    <definedName name="dfhgfgdjgd">{"Matrix",#N/A,FALSE,"ACQMTRX";"Fees",#N/A,FALSE,"ACQMTRX"}</definedName>
    <definedName name="Div_Industrial">{"adj95mult",#N/A,FALSE,"COMPCO";"adj95est",#N/A,FALSE,"COMPCO"}</definedName>
    <definedName name="e">{"adj95mult",#N/A,FALSE,"COMPCO";"adj95est",#N/A,FALSE,"COMPCO"}</definedName>
    <definedName name="fgefgef">{"qchm_dcf",#N/A,FALSE,"QCHMDCF2";"qchm_terminal",#N/A,FALSE,"QCHMDCF2"}</definedName>
    <definedName name="fhrghgrd">{"DCF1",#N/A,FALSE,"SIERRA DCF";"MATRIX1",#N/A,FALSE,"SIERRA DCF"}</definedName>
    <definedName name="fsdfdfa">{"page1",#N/A,FALSE,"BHCOMPC5";"page2",#N/A,FALSE,"BHCOMPC5";"page3",#N/A,FALSE,"BHCOMPC5";"page4",#N/A,FALSE,"BHCOMPC5"}</definedName>
    <definedName name="g">{"page1",#N/A,FALSE,"BHCOMPC5";"page2",#N/A,FALSE,"BHCOMPC5";"page3",#N/A,FALSE,"BHCOMPC5";"page4",#N/A,FALSE,"BHCOMPC5"}</definedName>
    <definedName name="hhgjghj">{"DCF1",#N/A,FALSE,"SIERRA DCF";"MATRIX1",#N/A,FALSE,"SIERRA DCF"}</definedName>
    <definedName name="htgrer">{"page1",#N/A,FALSE,"BHCOMPC5";"page2",#N/A,FALSE,"BHCOMPC5";"page3",#N/A,FALSE,"BHCOMPC5";"page4",#N/A,FALSE,"BHCOMPC5"}</definedName>
    <definedName name="i">{"DCF1",#N/A,FALSE,"SIERRA DCF";"MATRIX1",#N/A,FALSE,"SIERRA DCF"}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41666.7099189815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{"EVA",#N/A,FALSE,"EVA";"WACC",#N/A,FALSE,"WACC"}</definedName>
    <definedName name="k">{"DCF","UPSIDE CASE",FALSE,"Sheet1";"DCF","BASE CASE",FALSE,"Sheet1";"DCF","DOWNSIDE CASE",FALSE,"Sheet1"}</definedName>
    <definedName name="nhjythh">{"DCF","UPSIDE CASE",FALSE,"Sheet1";"DCF","BASE CASE",FALSE,"Sheet1";"DCF","DOWNSIDE CASE",FALSE,"Sheet1"}</definedName>
    <definedName name="_xlnm.Print_Area" localSheetId="0">'Cover Page'!$A$1:$N$53</definedName>
    <definedName name="_xlnm.Print_Area">#REF!</definedName>
    <definedName name="sadd">{"DCF","UPSIDE CASE",FALSE,"Sheet1";"DCF","BASE CASE",FALSE,"Sheet1";"DCF","DOWNSIDE CASE",FALSE,"Sheet1"}</definedName>
    <definedName name="sdasd">{"EVA",#N/A,FALSE,"EVA";"WACC",#N/A,FALSE,"WACC"}</definedName>
    <definedName name="segfsdvgfsd">{"page1",#N/A,FALSE,"BHCOMPC5";"page2",#N/A,FALSE,"BHCOMPC5";"page3",#N/A,FALSE,"BHCOMPC5";"page4",#N/A,FALSE,"BHCOMPC5"}</definedName>
    <definedName name="sfads">{"EVA",#N/A,FALSE,"EVA";"WACC",#N/A,FALSE,"WACC"}</definedName>
    <definedName name="sgag">{"page1",#N/A,FALSE,"BHCOMPC5";"page2",#N/A,FALSE,"BHCOMPC5";"page3",#N/A,FALSE,"BHCOMPC5";"page4",#N/A,FALSE,"BHCOMPC5"}</definedName>
    <definedName name="ss">{"DCF1",#N/A,FALSE,"SIERRA DCF";"MATRIX1",#N/A,FALSE,"SIERRA DCF"}</definedName>
    <definedName name="w">{"DCF1",#N/A,FALSE,"SIERRA DCF";"MATRIX1",#N/A,FALSE,"SIERRA DCF"}</definedName>
    <definedName name="WACC3">{"adj95mult",#N/A,FALSE,"COMPCO";"adj95est",#N/A,FALSE,"COMPCO"}</definedName>
    <definedName name="wrn.Acquisition_matrix.">{"Acq_matrix",#N/A,FALSE,"Acquisition Matrix"}</definedName>
    <definedName name="wrn.adj95.">{"adj95mult",#N/A,FALSE,"COMPCO";"adj95est",#N/A,FALSE,"COMPCO"}</definedName>
    <definedName name="wrn.All.">{"Matrix",#N/A,FALSE,"ACQMTRX";"Fees",#N/A,FALSE,"ACQMTRX"}</definedName>
    <definedName name="wrn.AQUIROR._.DCF.">{"AQUIRORDCF",#N/A,FALSE,"Merger consequences";"Acquirorassns",#N/A,FALSE,"Merger consequences"}</definedName>
    <definedName name="wrn.backup.">{"background",#N/A,FALSE,"CS First Boston Merger Model";"inputs",#N/A,FALSE,"CS First Boston Merger Model"}</definedName>
    <definedName name="wrn.compco.">{"mult96",#N/A,FALSE,"PETCOMP";"est96",#N/A,FALSE,"PETCOMP";"mult95",#N/A,FALSE,"PETCOMP";"est95",#N/A,FALSE,"PETCOMP";"multltm",#N/A,FALSE,"PETCOMP";"resultltm",#N/A,FALSE,"PETCOMP"}</definedName>
    <definedName name="wrn.compco2">{"page1",#N/A,FALSE,"BHCOMPC5";"page2",#N/A,FALSE,"BHCOMPC5";"page3",#N/A,FALSE,"BHCOMPC5";"page4",#N/A,FALSE,"BHCOMPC5"}</definedName>
    <definedName name="wrn.DCF.">{"DCF1",#N/A,FALSE,"SIERRA DCF";"MATRIX1",#N/A,FALSE,"SIERRA DCF"}</definedName>
    <definedName name="wrn.DCF_Terminal_Value_qchm.">{"qchm_dcf",#N/A,FALSE,"QCHMDCF2";"qchm_terminal",#N/A,FALSE,"QCHMDCF2"}</definedName>
    <definedName name="wrn.dcf2">{"DCF1",#N/A,FALSE,"SIERRA DCF";"MATRIX1",#N/A,FALSE,"SIERRA DCF"}</definedName>
    <definedName name="wrn.Economic._.Value._.Added._.Analysis.">{"EVA",#N/A,FALSE,"EVA";"WACC",#N/A,FALSE,"WACC"}</definedName>
    <definedName name="wrn.Ferro.">{"matt","zero",FALSE,"CS First Boston Merger Model";"matt","twenty",FALSE,"CS First Boston Merger Model";"matt","forty",FALSE,"CS First Boston Merger Model";"matt","sixty",FALSE,"CS First Boston Merger Model";"matt","eighty",FALSE,"CS First Boston Merger Model";"matt","hundred",FALSE,"CS First Boston Merger Model"}</definedName>
    <definedName name="wrn.FOUR._.CASES.">{"MODEL","ALL STOCK",FALSE,"CS First Boston Merger Model";"MODEL","ALL CASH",FALSE,"CS First Boston Merger Model";"MODEL","ALL CASH WITH EQUITY OFFERING",FALSE,"CS First Boston Merger Model";"MODEL","HALF CASH/HALF STOCK",FALSE,"CS First Boston Merger Model"}</definedName>
    <definedName name="wrn.Full.">{"Comp1",#N/A,FALSE,"COMP";"Comp2",#N/A,FALSE,"COMP";"Comp3",#N/A,FALSE,"COMP";"Comp4",#N/A,FALSE,"COMP"}</definedName>
    <definedName name="wrn.full._.report.">{"summary",#N/A,FALSE,"Summary";"transaction",#N/A,FALSE,"Transaction";"sales",#N/A,FALSE,"Sales";"sales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newoutput">{"DCF","UPSIDE CASE",FALSE,"Sheet1";"DCF","BASE CASE",FALSE,"Sheet1";"DCF","DOWNSIDE CASE",FALSE,"Sheet1"}</definedName>
    <definedName name="wrn.OUTPUT.">{"DCF","UPSIDE CASE",FALSE,"Sheet1";"DCF","BASE CASE",FALSE,"Sheet1";"DCF","DOWNSIDE CASE",FALSE,"Sheet1"}</definedName>
    <definedName name="wrn.sales.">{"sales",#N/A,FALSE,"Sales";"sales existing",#N/A,FALSE,"Sales";"sales rd1",#N/A,FALSE,"Sales";"sales rd2",#N/A,FALSE,"Sales"}</definedName>
    <definedName name="wrn.TARGET._.DCF.">{"targetdcf",#N/A,FALSE,"Merger consequences";"TARGETASSU",#N/A,FALSE,"Merger consequences";"TERMINAL VALUE",#N/A,FALSE,"Merger consequences"}</definedName>
    <definedName name="wrn.Textron.">{#N/A,#N/A,FALSE,"IS";#N/A,#N/A,FALSE,"SG";#N/A,#N/A,FALSE,"FF";#N/A,#N/A,FALSE,"BS";#N/A,#N/A,FALSE,"DCF";#N/A,#N/A,FALSE,"EVA";#N/A,#N/A,FALSE,"Air";#N/A,#N/A,FALSE,"Car";#N/A,#N/A,FALSE,"Ind";#N/A,#N/A,FALSE,"Sys";#N/A,#N/A,FALSE,"Fin";#N/A,#N/A,FALSE,"Ces";#N/A,#N/A,FALSE,"Bell"}</definedName>
    <definedName name="wrn.three">{"EVA",#N/A,FALSE,"EVA";"WACC",#N/A,FALSE,"WACC"}</definedName>
    <definedName name="Yes">{"adj95mult",#N/A,FALSE,"COMPCO";"adj95est",#N/A,FALSE,"COMPCO"}</definedName>
  </definedNames>
  <calcPr calcId="191029" calcMode="autoNoTable"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22" l="1"/>
  <c r="I47" i="22"/>
  <c r="J47" i="22"/>
  <c r="K47" i="22"/>
  <c r="H47" i="22"/>
  <c r="G115" i="22" l="1"/>
  <c r="H115" i="22" s="1"/>
  <c r="I115" i="22" s="1"/>
  <c r="J115" i="22" s="1"/>
  <c r="K115" i="22" s="1"/>
  <c r="G96" i="22"/>
  <c r="H96" i="22" s="1"/>
  <c r="I96" i="22" s="1"/>
  <c r="J96" i="22" s="1"/>
  <c r="K96" i="22" s="1"/>
  <c r="G456" i="22" l="1"/>
  <c r="G462" i="22"/>
  <c r="F569" i="22"/>
  <c r="G558" i="22"/>
  <c r="F540" i="22"/>
  <c r="G540" i="22" s="1"/>
  <c r="H540" i="22" s="1"/>
  <c r="I540" i="22" s="1"/>
  <c r="J540" i="22" s="1"/>
  <c r="K540" i="22" s="1"/>
  <c r="F539" i="22"/>
  <c r="G539" i="22" s="1"/>
  <c r="H539" i="22" s="1"/>
  <c r="I539" i="22" s="1"/>
  <c r="J539" i="22" s="1"/>
  <c r="K539" i="22" s="1"/>
  <c r="B536" i="22"/>
  <c r="B535" i="22"/>
  <c r="B543" i="22" s="1"/>
  <c r="H529" i="22"/>
  <c r="H528" i="22"/>
  <c r="H527" i="22"/>
  <c r="H526" i="22"/>
  <c r="H525" i="22"/>
  <c r="H524" i="22"/>
  <c r="H523" i="22"/>
  <c r="H522" i="22"/>
  <c r="H521" i="22"/>
  <c r="H520" i="22"/>
  <c r="F510" i="22"/>
  <c r="G500" i="22"/>
  <c r="G489" i="22"/>
  <c r="H488" i="22"/>
  <c r="I488" i="22" s="1"/>
  <c r="J488" i="22" s="1"/>
  <c r="K488" i="22" s="1"/>
  <c r="H487" i="22"/>
  <c r="G471" i="22"/>
  <c r="F448" i="22"/>
  <c r="G446" i="22" s="1"/>
  <c r="K432" i="22"/>
  <c r="J432" i="22"/>
  <c r="I432" i="22"/>
  <c r="H432" i="22"/>
  <c r="G432" i="22"/>
  <c r="G422" i="22"/>
  <c r="H421" i="22"/>
  <c r="I421" i="22" s="1"/>
  <c r="J421" i="22" s="1"/>
  <c r="K421" i="22" s="1"/>
  <c r="H420" i="22"/>
  <c r="I420" i="22" s="1"/>
  <c r="F418" i="22"/>
  <c r="H393" i="22"/>
  <c r="G393" i="22"/>
  <c r="F393" i="22"/>
  <c r="E393" i="22"/>
  <c r="D393" i="22"/>
  <c r="C393" i="22"/>
  <c r="B373" i="22"/>
  <c r="B374" i="22" s="1"/>
  <c r="B375" i="22" s="1"/>
  <c r="B376" i="22" s="1"/>
  <c r="B377" i="22" s="1"/>
  <c r="B378" i="22" s="1"/>
  <c r="B379" i="22" s="1"/>
  <c r="B380" i="22" s="1"/>
  <c r="B381" i="22" s="1"/>
  <c r="B382" i="22" s="1"/>
  <c r="B383" i="22" s="1"/>
  <c r="B384" i="22" s="1"/>
  <c r="B385" i="22" s="1"/>
  <c r="B386" i="22" s="1"/>
  <c r="B387" i="22" s="1"/>
  <c r="B388" i="22" s="1"/>
  <c r="B389" i="22" s="1"/>
  <c r="B390" i="22" s="1"/>
  <c r="B391" i="22" s="1"/>
  <c r="B392" i="22" s="1"/>
  <c r="F349" i="22"/>
  <c r="K334" i="22"/>
  <c r="J334" i="22"/>
  <c r="I334" i="22"/>
  <c r="H334" i="22"/>
  <c r="G334" i="22"/>
  <c r="F330" i="22"/>
  <c r="B310" i="22"/>
  <c r="B309" i="22"/>
  <c r="B308" i="22"/>
  <c r="B307" i="22"/>
  <c r="B306" i="22"/>
  <c r="B295" i="22"/>
  <c r="B294" i="22"/>
  <c r="B293" i="22"/>
  <c r="B292" i="22"/>
  <c r="B291" i="22"/>
  <c r="K285" i="22"/>
  <c r="J285" i="22"/>
  <c r="I285" i="22"/>
  <c r="H285" i="22"/>
  <c r="G285" i="22"/>
  <c r="B285" i="22"/>
  <c r="K284" i="22"/>
  <c r="J284" i="22"/>
  <c r="I284" i="22"/>
  <c r="H284" i="22"/>
  <c r="G284" i="22"/>
  <c r="B284" i="22"/>
  <c r="K283" i="22"/>
  <c r="J283" i="22"/>
  <c r="I283" i="22"/>
  <c r="H283" i="22"/>
  <c r="G283" i="22"/>
  <c r="B283" i="22"/>
  <c r="K282" i="22"/>
  <c r="J282" i="22"/>
  <c r="I282" i="22"/>
  <c r="H282" i="22"/>
  <c r="G282" i="22"/>
  <c r="B282" i="22"/>
  <c r="K281" i="22"/>
  <c r="J281" i="22"/>
  <c r="I281" i="22"/>
  <c r="H281" i="22"/>
  <c r="G281" i="22"/>
  <c r="B281" i="22"/>
  <c r="H279" i="22"/>
  <c r="H278" i="22"/>
  <c r="B273" i="22"/>
  <c r="B272" i="22"/>
  <c r="F268" i="22"/>
  <c r="F536" i="22" s="1"/>
  <c r="B264" i="22"/>
  <c r="F262" i="22"/>
  <c r="G259" i="22" s="1"/>
  <c r="B258" i="22"/>
  <c r="F256" i="22"/>
  <c r="G253" i="22" s="1"/>
  <c r="B252" i="22"/>
  <c r="F250" i="22"/>
  <c r="B246" i="22"/>
  <c r="G243" i="22"/>
  <c r="H243" i="22" s="1"/>
  <c r="I243" i="22" s="1"/>
  <c r="F241" i="22"/>
  <c r="G238" i="22" s="1"/>
  <c r="B237" i="22"/>
  <c r="B232" i="22"/>
  <c r="B231" i="22"/>
  <c r="B230" i="22"/>
  <c r="K225" i="22"/>
  <c r="K158" i="22" s="1"/>
  <c r="J225" i="22"/>
  <c r="J158" i="22" s="1"/>
  <c r="I225" i="22"/>
  <c r="I158" i="22" s="1"/>
  <c r="H225" i="22"/>
  <c r="H158" i="22" s="1"/>
  <c r="G225" i="22"/>
  <c r="G158" i="22" s="1"/>
  <c r="B225" i="22"/>
  <c r="B224" i="22"/>
  <c r="B223" i="22"/>
  <c r="H219" i="22"/>
  <c r="I219" i="22" s="1"/>
  <c r="J219" i="22" s="1"/>
  <c r="K219" i="22" s="1"/>
  <c r="G218" i="22"/>
  <c r="G220" i="22" s="1"/>
  <c r="F216" i="22"/>
  <c r="F191" i="22"/>
  <c r="F190" i="22"/>
  <c r="F184" i="22"/>
  <c r="B184" i="22"/>
  <c r="B204" i="22" s="1"/>
  <c r="F183" i="22"/>
  <c r="B183" i="22"/>
  <c r="B203" i="22" s="1"/>
  <c r="F182" i="22"/>
  <c r="B182" i="22"/>
  <c r="B202" i="22" s="1"/>
  <c r="F181" i="22"/>
  <c r="B181" i="22"/>
  <c r="B201" i="22" s="1"/>
  <c r="F180" i="22"/>
  <c r="B180" i="22"/>
  <c r="B200" i="22" s="1"/>
  <c r="F179" i="22"/>
  <c r="F199" i="22" s="1"/>
  <c r="G199" i="22" s="1"/>
  <c r="B179" i="22"/>
  <c r="B199" i="22" s="1"/>
  <c r="F177" i="22"/>
  <c r="B177" i="22"/>
  <c r="B197" i="22" s="1"/>
  <c r="F176" i="22"/>
  <c r="B176" i="22"/>
  <c r="B196" i="22" s="1"/>
  <c r="F175" i="22"/>
  <c r="B175" i="22"/>
  <c r="B195" i="22" s="1"/>
  <c r="F174" i="22"/>
  <c r="B174" i="22"/>
  <c r="B194" i="22" s="1"/>
  <c r="F170" i="22"/>
  <c r="K159" i="22"/>
  <c r="J159" i="22"/>
  <c r="I159" i="22"/>
  <c r="H159" i="22"/>
  <c r="G159" i="22"/>
  <c r="B140" i="22"/>
  <c r="B139" i="22"/>
  <c r="K138" i="22"/>
  <c r="J138" i="22"/>
  <c r="I138" i="22"/>
  <c r="H138" i="22"/>
  <c r="G138" i="22"/>
  <c r="K137" i="22"/>
  <c r="J137" i="22"/>
  <c r="I137" i="22"/>
  <c r="H137" i="22"/>
  <c r="G137" i="22"/>
  <c r="F129" i="22"/>
  <c r="B118" i="22"/>
  <c r="B159" i="22" s="1"/>
  <c r="G117" i="22"/>
  <c r="H117" i="22" s="1"/>
  <c r="I117" i="22" s="1"/>
  <c r="J117" i="22" s="1"/>
  <c r="K117" i="22" s="1"/>
  <c r="F113" i="22"/>
  <c r="B112" i="22"/>
  <c r="B158" i="22" s="1"/>
  <c r="B111" i="22"/>
  <c r="B157" i="22" s="1"/>
  <c r="B110" i="22"/>
  <c r="B156" i="22" s="1"/>
  <c r="B109" i="22"/>
  <c r="F108" i="22"/>
  <c r="G107" i="22"/>
  <c r="H107" i="22" s="1"/>
  <c r="I107" i="22" s="1"/>
  <c r="J107" i="22" s="1"/>
  <c r="K107" i="22" s="1"/>
  <c r="G93" i="22"/>
  <c r="H93" i="22" s="1"/>
  <c r="I93" i="22" s="1"/>
  <c r="J93" i="22" s="1"/>
  <c r="K93" i="22" s="1"/>
  <c r="F91" i="22"/>
  <c r="F89" i="22"/>
  <c r="F97" i="22" s="1"/>
  <c r="F80" i="22"/>
  <c r="F60" i="22"/>
  <c r="G60" i="22" s="1"/>
  <c r="H60" i="22" s="1"/>
  <c r="I60" i="22" s="1"/>
  <c r="J60" i="22" s="1"/>
  <c r="K60" i="22" s="1"/>
  <c r="F59" i="22"/>
  <c r="G59" i="22" s="1"/>
  <c r="H59" i="22" s="1"/>
  <c r="I59" i="22" s="1"/>
  <c r="J59" i="22" s="1"/>
  <c r="K59" i="22" s="1"/>
  <c r="F58" i="22"/>
  <c r="F57" i="22"/>
  <c r="G57" i="22" s="1"/>
  <c r="H57" i="22" s="1"/>
  <c r="I57" i="22" s="1"/>
  <c r="J57" i="22" s="1"/>
  <c r="K57" i="22" s="1"/>
  <c r="F56" i="22"/>
  <c r="G56" i="22" s="1"/>
  <c r="H56" i="22" s="1"/>
  <c r="I56" i="22" s="1"/>
  <c r="J56" i="22" s="1"/>
  <c r="K56" i="22" s="1"/>
  <c r="F55" i="22"/>
  <c r="G55" i="22" s="1"/>
  <c r="H55" i="22" s="1"/>
  <c r="I55" i="22" s="1"/>
  <c r="J55" i="22" s="1"/>
  <c r="K55" i="22" s="1"/>
  <c r="H51" i="22"/>
  <c r="I51" i="22" s="1"/>
  <c r="J51" i="22" s="1"/>
  <c r="K51" i="22" s="1"/>
  <c r="F51" i="22"/>
  <c r="G33" i="22"/>
  <c r="H33" i="22" s="1"/>
  <c r="I33" i="22" s="1"/>
  <c r="J33" i="22" s="1"/>
  <c r="K33" i="22" s="1"/>
  <c r="G29" i="22"/>
  <c r="K28" i="22"/>
  <c r="J28" i="22"/>
  <c r="I28" i="22"/>
  <c r="H28" i="22"/>
  <c r="G28" i="22"/>
  <c r="G16" i="22"/>
  <c r="F12" i="22"/>
  <c r="F62" i="22" s="1"/>
  <c r="G8" i="22"/>
  <c r="G510" i="22" s="1"/>
  <c r="G3" i="22"/>
  <c r="G469" i="22" s="1"/>
  <c r="F544" i="22" l="1"/>
  <c r="F481" i="22"/>
  <c r="G479" i="22" s="1"/>
  <c r="G73" i="22"/>
  <c r="G338" i="22" s="1"/>
  <c r="G474" i="22"/>
  <c r="G21" i="22"/>
  <c r="G453" i="22"/>
  <c r="F200" i="22"/>
  <c r="G200" i="22" s="1"/>
  <c r="H200" i="22" s="1"/>
  <c r="I200" i="22" s="1"/>
  <c r="J200" i="22" s="1"/>
  <c r="I422" i="22"/>
  <c r="I73" i="22" s="1"/>
  <c r="I339" i="22" s="1"/>
  <c r="H489" i="22"/>
  <c r="G265" i="22"/>
  <c r="G295" i="22" s="1"/>
  <c r="H530" i="22"/>
  <c r="I559" i="22" s="1"/>
  <c r="F116" i="22"/>
  <c r="F120" i="22" s="1"/>
  <c r="F122" i="22" s="1"/>
  <c r="F201" i="22"/>
  <c r="G201" i="22" s="1"/>
  <c r="H201" i="22" s="1"/>
  <c r="J420" i="22"/>
  <c r="K420" i="22" s="1"/>
  <c r="K422" i="22" s="1"/>
  <c r="I487" i="22"/>
  <c r="I489" i="22" s="1"/>
  <c r="F244" i="22"/>
  <c r="G289" i="22" s="1"/>
  <c r="F202" i="22"/>
  <c r="G202" i="22" s="1"/>
  <c r="H202" i="22" s="1"/>
  <c r="H8" i="22"/>
  <c r="H510" i="22" s="1"/>
  <c r="G80" i="22"/>
  <c r="G170" i="22"/>
  <c r="F195" i="22"/>
  <c r="G195" i="22" s="1"/>
  <c r="H195" i="22" s="1"/>
  <c r="I195" i="22" s="1"/>
  <c r="F204" i="22"/>
  <c r="G204" i="22" s="1"/>
  <c r="H204" i="22" s="1"/>
  <c r="I204" i="22" s="1"/>
  <c r="J204" i="22" s="1"/>
  <c r="G330" i="22"/>
  <c r="F196" i="22"/>
  <c r="G196" i="22" s="1"/>
  <c r="H196" i="22" s="1"/>
  <c r="F203" i="22"/>
  <c r="G203" i="22" s="1"/>
  <c r="H203" i="22" s="1"/>
  <c r="F197" i="22"/>
  <c r="G197" i="22" s="1"/>
  <c r="H197" i="22" s="1"/>
  <c r="I197" i="22" s="1"/>
  <c r="G349" i="22"/>
  <c r="G294" i="22"/>
  <c r="G293" i="22"/>
  <c r="G25" i="22" s="1"/>
  <c r="G95" i="22"/>
  <c r="H95" i="22" s="1"/>
  <c r="I95" i="22" s="1"/>
  <c r="J95" i="22" s="1"/>
  <c r="K95" i="22" s="1"/>
  <c r="F535" i="22"/>
  <c r="F543" i="22" s="1"/>
  <c r="G247" i="22"/>
  <c r="G292" i="22" s="1"/>
  <c r="G24" i="22" s="1"/>
  <c r="F185" i="22"/>
  <c r="G254" i="22"/>
  <c r="G224" i="22" s="1"/>
  <c r="I278" i="22"/>
  <c r="G291" i="22"/>
  <c r="H3" i="22"/>
  <c r="H469" i="22" s="1"/>
  <c r="G10" i="22"/>
  <c r="F14" i="22"/>
  <c r="G428" i="22"/>
  <c r="G135" i="22"/>
  <c r="G94" i="22"/>
  <c r="G433" i="22"/>
  <c r="H29" i="22"/>
  <c r="F178" i="22"/>
  <c r="H199" i="22"/>
  <c r="J243" i="22"/>
  <c r="I279" i="22"/>
  <c r="G569" i="22"/>
  <c r="G418" i="22"/>
  <c r="F194" i="22"/>
  <c r="G194" i="22" s="1"/>
  <c r="G129" i="22"/>
  <c r="G216" i="22"/>
  <c r="H422" i="22"/>
  <c r="B554" i="22"/>
  <c r="B548" i="22"/>
  <c r="B540" i="22"/>
  <c r="B561" i="22" s="1"/>
  <c r="B544" i="22"/>
  <c r="H558" i="22"/>
  <c r="B553" i="22"/>
  <c r="B547" i="22"/>
  <c r="B539" i="22"/>
  <c r="B560" i="22" s="1"/>
  <c r="K559" i="22" l="1"/>
  <c r="H453" i="22"/>
  <c r="I338" i="22"/>
  <c r="I340" i="22" s="1"/>
  <c r="I342" i="22" s="1"/>
  <c r="G339" i="22"/>
  <c r="G340" i="22" s="1"/>
  <c r="G342" i="22" s="1"/>
  <c r="J487" i="22"/>
  <c r="K487" i="22" s="1"/>
  <c r="K489" i="22" s="1"/>
  <c r="G38" i="22"/>
  <c r="H474" i="22"/>
  <c r="F559" i="22"/>
  <c r="H559" i="22"/>
  <c r="J559" i="22"/>
  <c r="G559" i="22"/>
  <c r="H349" i="22"/>
  <c r="I8" i="22"/>
  <c r="I330" i="22" s="1"/>
  <c r="H216" i="22"/>
  <c r="H330" i="22"/>
  <c r="H569" i="22"/>
  <c r="J422" i="22"/>
  <c r="J73" i="22" s="1"/>
  <c r="J338" i="22" s="1"/>
  <c r="H80" i="22"/>
  <c r="H418" i="22"/>
  <c r="H129" i="22"/>
  <c r="H170" i="22"/>
  <c r="K73" i="22"/>
  <c r="G190" i="22"/>
  <c r="G174" i="22" s="1"/>
  <c r="G15" i="22"/>
  <c r="G17" i="22"/>
  <c r="G13" i="22"/>
  <c r="G11" i="22"/>
  <c r="G191" i="22" s="1"/>
  <c r="G46" i="22"/>
  <c r="H10" i="22"/>
  <c r="J195" i="22"/>
  <c r="K200" i="22"/>
  <c r="I196" i="22"/>
  <c r="I3" i="22"/>
  <c r="I202" i="22"/>
  <c r="I558" i="22"/>
  <c r="K243" i="22"/>
  <c r="I199" i="22"/>
  <c r="F186" i="22"/>
  <c r="F63" i="22"/>
  <c r="F18" i="22"/>
  <c r="F69" i="22" s="1"/>
  <c r="G298" i="22"/>
  <c r="G582" i="22" s="1"/>
  <c r="G297" i="22"/>
  <c r="G581" i="22" s="1"/>
  <c r="G23" i="22"/>
  <c r="H16" i="22"/>
  <c r="K204" i="22"/>
  <c r="I201" i="22"/>
  <c r="H73" i="22"/>
  <c r="H194" i="22"/>
  <c r="J278" i="22"/>
  <c r="J279" i="22"/>
  <c r="I203" i="22"/>
  <c r="H433" i="22"/>
  <c r="I29" i="22"/>
  <c r="G299" i="22"/>
  <c r="G300" i="22"/>
  <c r="G301" i="22" s="1"/>
  <c r="G22" i="22"/>
  <c r="F295" i="22"/>
  <c r="G266" i="22"/>
  <c r="G248" i="22"/>
  <c r="G223" i="22" s="1"/>
  <c r="G26" i="22"/>
  <c r="F294" i="22"/>
  <c r="G260" i="22"/>
  <c r="G58" i="22"/>
  <c r="J197" i="22"/>
  <c r="J489" i="22" l="1"/>
  <c r="I453" i="22"/>
  <c r="I469" i="22"/>
  <c r="J339" i="22"/>
  <c r="J340" i="22" s="1"/>
  <c r="J342" i="22" s="1"/>
  <c r="I170" i="22"/>
  <c r="I418" i="22"/>
  <c r="I129" i="22"/>
  <c r="J8" i="22"/>
  <c r="J170" i="22" s="1"/>
  <c r="I349" i="22"/>
  <c r="I569" i="22"/>
  <c r="I216" i="22"/>
  <c r="I510" i="22"/>
  <c r="I80" i="22"/>
  <c r="G27" i="22"/>
  <c r="G431" i="22" s="1"/>
  <c r="K279" i="22"/>
  <c r="I194" i="22"/>
  <c r="J201" i="22"/>
  <c r="F64" i="22"/>
  <c r="F30" i="22"/>
  <c r="F19" i="22"/>
  <c r="F65" i="22" s="1"/>
  <c r="J199" i="22"/>
  <c r="G180" i="22"/>
  <c r="G102" i="22" s="1"/>
  <c r="G184" i="22"/>
  <c r="G106" i="22" s="1"/>
  <c r="G175" i="22"/>
  <c r="G208" i="22" s="1"/>
  <c r="G177" i="22"/>
  <c r="G88" i="22" s="1"/>
  <c r="G182" i="22"/>
  <c r="G104" i="22" s="1"/>
  <c r="G179" i="22"/>
  <c r="K338" i="22"/>
  <c r="K339" i="22"/>
  <c r="G226" i="22"/>
  <c r="G85" i="22"/>
  <c r="K195" i="22"/>
  <c r="G206" i="22"/>
  <c r="G183" i="22"/>
  <c r="G105" i="22" s="1"/>
  <c r="G181" i="22"/>
  <c r="G103" i="22" s="1"/>
  <c r="G176" i="22"/>
  <c r="G87" i="22" s="1"/>
  <c r="G139" i="22"/>
  <c r="G262" i="22"/>
  <c r="G583" i="22"/>
  <c r="K278" i="22"/>
  <c r="H339" i="22"/>
  <c r="H338" i="22"/>
  <c r="H428" i="22"/>
  <c r="H135" i="22"/>
  <c r="H58" i="22"/>
  <c r="H38" i="22"/>
  <c r="J558" i="22"/>
  <c r="H190" i="22"/>
  <c r="H174" i="22" s="1"/>
  <c r="H46" i="22"/>
  <c r="I10" i="22"/>
  <c r="H15" i="22"/>
  <c r="H17" i="22"/>
  <c r="H11" i="22"/>
  <c r="H191" i="22" s="1"/>
  <c r="H13" i="22"/>
  <c r="G430" i="22"/>
  <c r="G136" i="22"/>
  <c r="G39" i="22"/>
  <c r="I433" i="22"/>
  <c r="J29" i="22"/>
  <c r="H94" i="22"/>
  <c r="I16" i="22" s="1"/>
  <c r="J196" i="22"/>
  <c r="G151" i="22"/>
  <c r="G351" i="22"/>
  <c r="G90" i="22"/>
  <c r="G12" i="22"/>
  <c r="K197" i="22"/>
  <c r="G140" i="22"/>
  <c r="G268" i="22"/>
  <c r="J3" i="22"/>
  <c r="G365" i="22"/>
  <c r="G91" i="22"/>
  <c r="G134" i="22"/>
  <c r="G302" i="22"/>
  <c r="G34" i="22" s="1"/>
  <c r="J203" i="22"/>
  <c r="J202" i="22"/>
  <c r="J453" i="22" l="1"/>
  <c r="J469" i="22"/>
  <c r="I474" i="22"/>
  <c r="J129" i="22"/>
  <c r="J349" i="22"/>
  <c r="J80" i="22"/>
  <c r="J569" i="22"/>
  <c r="J510" i="22"/>
  <c r="J216" i="22"/>
  <c r="J418" i="22"/>
  <c r="J330" i="22"/>
  <c r="K8" i="22"/>
  <c r="K418" i="22" s="1"/>
  <c r="G178" i="22"/>
  <c r="I428" i="22"/>
  <c r="I135" i="22"/>
  <c r="I38" i="22"/>
  <c r="I58" i="22"/>
  <c r="J433" i="22"/>
  <c r="K29" i="22"/>
  <c r="K433" i="22" s="1"/>
  <c r="H151" i="22"/>
  <c r="H351" i="22"/>
  <c r="G535" i="22"/>
  <c r="G543" i="22" s="1"/>
  <c r="G112" i="22"/>
  <c r="H259" i="22"/>
  <c r="G141" i="22"/>
  <c r="H206" i="22"/>
  <c r="H183" i="22"/>
  <c r="H105" i="22" s="1"/>
  <c r="H181" i="22"/>
  <c r="H103" i="22" s="1"/>
  <c r="H176" i="22"/>
  <c r="H87" i="22" s="1"/>
  <c r="G584" i="22"/>
  <c r="K199" i="22"/>
  <c r="H91" i="22"/>
  <c r="G62" i="22"/>
  <c r="G14" i="22"/>
  <c r="H12" i="22"/>
  <c r="K340" i="22"/>
  <c r="K342" i="22" s="1"/>
  <c r="G192" i="22"/>
  <c r="G207" i="22" s="1"/>
  <c r="G86" i="22"/>
  <c r="G209" i="22"/>
  <c r="K201" i="22"/>
  <c r="K202" i="22"/>
  <c r="K3" i="22"/>
  <c r="H430" i="22"/>
  <c r="H136" i="22"/>
  <c r="H39" i="22"/>
  <c r="H85" i="22"/>
  <c r="G536" i="22"/>
  <c r="G544" i="22" s="1"/>
  <c r="G576" i="22"/>
  <c r="G118" i="22"/>
  <c r="H265" i="22"/>
  <c r="I94" i="22"/>
  <c r="J16" i="22" s="1"/>
  <c r="H365" i="22"/>
  <c r="H134" i="22"/>
  <c r="K203" i="22"/>
  <c r="H90" i="22"/>
  <c r="G92" i="22"/>
  <c r="K196" i="22"/>
  <c r="H182" i="22"/>
  <c r="H104" i="22" s="1"/>
  <c r="H175" i="22"/>
  <c r="H209" i="22" s="1"/>
  <c r="H179" i="22"/>
  <c r="H180" i="22"/>
  <c r="H102" i="22" s="1"/>
  <c r="H177" i="22"/>
  <c r="H88" i="22" s="1"/>
  <c r="H184" i="22"/>
  <c r="H106" i="22" s="1"/>
  <c r="I190" i="22"/>
  <c r="I174" i="22" s="1"/>
  <c r="I17" i="22"/>
  <c r="I11" i="22"/>
  <c r="I191" i="22" s="1"/>
  <c r="J10" i="22"/>
  <c r="I46" i="22"/>
  <c r="I15" i="22"/>
  <c r="I13" i="22"/>
  <c r="K558" i="22"/>
  <c r="H340" i="22"/>
  <c r="H342" i="22" s="1"/>
  <c r="G101" i="22"/>
  <c r="G108" i="22" s="1"/>
  <c r="G185" i="22"/>
  <c r="F73" i="22"/>
  <c r="F32" i="22"/>
  <c r="F35" i="22" s="1"/>
  <c r="J194" i="22"/>
  <c r="K469" i="22" l="1"/>
  <c r="K474" i="22" s="1"/>
  <c r="J474" i="22"/>
  <c r="G186" i="22"/>
  <c r="G142" i="22" s="1"/>
  <c r="K453" i="22"/>
  <c r="I12" i="22"/>
  <c r="I14" i="22" s="1"/>
  <c r="K569" i="22"/>
  <c r="F71" i="22"/>
  <c r="F70" i="22"/>
  <c r="K349" i="22"/>
  <c r="B358" i="22" s="1" a="1"/>
  <c r="B361" i="22" s="1"/>
  <c r="B401" i="22" s="1"/>
  <c r="K80" i="22"/>
  <c r="K330" i="22"/>
  <c r="K216" i="22"/>
  <c r="K510" i="22"/>
  <c r="K170" i="22"/>
  <c r="K129" i="22"/>
  <c r="F422" i="22"/>
  <c r="F38" i="22"/>
  <c r="F39" i="22"/>
  <c r="H178" i="22"/>
  <c r="I85" i="22"/>
  <c r="I175" i="22"/>
  <c r="I180" i="22"/>
  <c r="I102" i="22" s="1"/>
  <c r="I182" i="22"/>
  <c r="I104" i="22" s="1"/>
  <c r="I179" i="22"/>
  <c r="I184" i="22"/>
  <c r="I106" i="22" s="1"/>
  <c r="I177" i="22"/>
  <c r="I88" i="22" s="1"/>
  <c r="H14" i="22"/>
  <c r="H62" i="22"/>
  <c r="K194" i="22"/>
  <c r="I134" i="22"/>
  <c r="I365" i="22"/>
  <c r="I430" i="22"/>
  <c r="I136" i="22"/>
  <c r="I39" i="22"/>
  <c r="J94" i="22"/>
  <c r="K16" i="22" s="1"/>
  <c r="I91" i="22"/>
  <c r="H294" i="22"/>
  <c r="J13" i="22"/>
  <c r="J15" i="22"/>
  <c r="K10" i="22"/>
  <c r="J17" i="22"/>
  <c r="J11" i="22"/>
  <c r="J191" i="22" s="1"/>
  <c r="J190" i="22"/>
  <c r="J174" i="22" s="1"/>
  <c r="J46" i="22"/>
  <c r="H192" i="22"/>
  <c r="H207" i="22" s="1"/>
  <c r="H86" i="22"/>
  <c r="F548" i="22"/>
  <c r="F547" i="22"/>
  <c r="F550" i="22"/>
  <c r="F66" i="22"/>
  <c r="I351" i="22"/>
  <c r="I151" i="22"/>
  <c r="I206" i="22"/>
  <c r="I176" i="22"/>
  <c r="I87" i="22" s="1"/>
  <c r="I183" i="22"/>
  <c r="I105" i="22" s="1"/>
  <c r="I181" i="22"/>
  <c r="I103" i="22" s="1"/>
  <c r="H185" i="22"/>
  <c r="H101" i="22"/>
  <c r="H108" i="22" s="1"/>
  <c r="H208" i="22"/>
  <c r="I90" i="22"/>
  <c r="H92" i="22"/>
  <c r="H295" i="22"/>
  <c r="H266" i="22" s="1"/>
  <c r="H140" i="22" s="1"/>
  <c r="G588" i="22"/>
  <c r="G426" i="22"/>
  <c r="G18" i="22"/>
  <c r="G63" i="22"/>
  <c r="J428" i="22"/>
  <c r="J58" i="22"/>
  <c r="J38" i="22"/>
  <c r="J135" i="22"/>
  <c r="I62" i="22" l="1"/>
  <c r="B359" i="22"/>
  <c r="B399" i="22" s="1"/>
  <c r="B362" i="22"/>
  <c r="B402" i="22" s="1"/>
  <c r="B358" i="22"/>
  <c r="B398" i="22" s="1"/>
  <c r="B360" i="22"/>
  <c r="B400" i="22" s="1"/>
  <c r="F41" i="22"/>
  <c r="H186" i="22"/>
  <c r="H142" i="22" s="1"/>
  <c r="K428" i="22"/>
  <c r="K38" i="22"/>
  <c r="K135" i="22"/>
  <c r="K58" i="22"/>
  <c r="G591" i="22"/>
  <c r="G592" i="22"/>
  <c r="G589" i="22"/>
  <c r="G594" i="22"/>
  <c r="G590" i="22"/>
  <c r="J177" i="22"/>
  <c r="J88" i="22" s="1"/>
  <c r="J182" i="22"/>
  <c r="J104" i="22" s="1"/>
  <c r="J184" i="22"/>
  <c r="J106" i="22" s="1"/>
  <c r="J179" i="22"/>
  <c r="J175" i="22"/>
  <c r="J180" i="22"/>
  <c r="J102" i="22" s="1"/>
  <c r="H260" i="22"/>
  <c r="H26" i="22"/>
  <c r="H268" i="22"/>
  <c r="F67" i="22"/>
  <c r="F553" i="22"/>
  <c r="F560" i="22" s="1"/>
  <c r="J39" i="22"/>
  <c r="J136" i="22"/>
  <c r="J430" i="22"/>
  <c r="J85" i="22"/>
  <c r="I192" i="22"/>
  <c r="I207" i="22" s="1"/>
  <c r="I86" i="22"/>
  <c r="I178" i="22"/>
  <c r="G30" i="22"/>
  <c r="G64" i="22"/>
  <c r="G19" i="22"/>
  <c r="G65" i="22" s="1"/>
  <c r="F554" i="22"/>
  <c r="F561" i="22" s="1"/>
  <c r="J351" i="22"/>
  <c r="J151" i="22"/>
  <c r="K15" i="22"/>
  <c r="K17" i="22"/>
  <c r="K13" i="22"/>
  <c r="K11" i="22"/>
  <c r="K191" i="22" s="1"/>
  <c r="K190" i="22"/>
  <c r="K174" i="22" s="1"/>
  <c r="K46" i="22"/>
  <c r="J91" i="22"/>
  <c r="I185" i="22"/>
  <c r="I101" i="22"/>
  <c r="I108" i="22" s="1"/>
  <c r="I208" i="22"/>
  <c r="I588" i="22"/>
  <c r="I426" i="22"/>
  <c r="I63" i="22"/>
  <c r="I18" i="22"/>
  <c r="I92" i="22"/>
  <c r="J90" i="22"/>
  <c r="J206" i="22"/>
  <c r="J181" i="22"/>
  <c r="J103" i="22" s="1"/>
  <c r="J183" i="22"/>
  <c r="J105" i="22" s="1"/>
  <c r="J176" i="22"/>
  <c r="J87" i="22" s="1"/>
  <c r="J12" i="22"/>
  <c r="I209" i="22"/>
  <c r="J365" i="22"/>
  <c r="J134" i="22"/>
  <c r="K94" i="22"/>
  <c r="H426" i="22"/>
  <c r="H63" i="22"/>
  <c r="H588" i="22"/>
  <c r="H18" i="22"/>
  <c r="K12" i="22" l="1"/>
  <c r="K14" i="22" s="1"/>
  <c r="J178" i="22"/>
  <c r="K91" i="22"/>
  <c r="J208" i="22"/>
  <c r="F562" i="22"/>
  <c r="F43" i="22" s="1"/>
  <c r="K351" i="22"/>
  <c r="C358" i="22" s="1" a="1"/>
  <c r="K151" i="22"/>
  <c r="K430" i="22"/>
  <c r="K39" i="22"/>
  <c r="K136" i="22"/>
  <c r="G31" i="22"/>
  <c r="J185" i="22"/>
  <c r="J101" i="22"/>
  <c r="J108" i="22" s="1"/>
  <c r="H64" i="22"/>
  <c r="H19" i="22"/>
  <c r="H65" i="22" s="1"/>
  <c r="I594" i="22"/>
  <c r="K85" i="22"/>
  <c r="K206" i="22"/>
  <c r="K181" i="22"/>
  <c r="K103" i="22" s="1"/>
  <c r="K176" i="22"/>
  <c r="K87" i="22" s="1"/>
  <c r="K183" i="22"/>
  <c r="K105" i="22" s="1"/>
  <c r="H139" i="22"/>
  <c r="H141" i="22" s="1"/>
  <c r="H262" i="22"/>
  <c r="J209" i="22"/>
  <c r="H594" i="22"/>
  <c r="J62" i="22"/>
  <c r="J14" i="22"/>
  <c r="I19" i="22"/>
  <c r="I65" i="22" s="1"/>
  <c r="I64" i="22"/>
  <c r="K175" i="22"/>
  <c r="K209" i="22" s="1"/>
  <c r="K177" i="22"/>
  <c r="K88" i="22" s="1"/>
  <c r="K179" i="22"/>
  <c r="K180" i="22"/>
  <c r="K102" i="22" s="1"/>
  <c r="K182" i="22"/>
  <c r="K104" i="22" s="1"/>
  <c r="K184" i="22"/>
  <c r="K106" i="22" s="1"/>
  <c r="K365" i="22"/>
  <c r="K134" i="22"/>
  <c r="I186" i="22"/>
  <c r="J92" i="22"/>
  <c r="K90" i="22"/>
  <c r="H576" i="22"/>
  <c r="H536" i="22"/>
  <c r="H544" i="22" s="1"/>
  <c r="I265" i="22"/>
  <c r="H118" i="22"/>
  <c r="J86" i="22"/>
  <c r="J192" i="22"/>
  <c r="J207" i="22" s="1"/>
  <c r="G596" i="22"/>
  <c r="G597" i="22"/>
  <c r="G595" i="22"/>
  <c r="G598" i="22"/>
  <c r="G600" i="22"/>
  <c r="J186" i="22" l="1"/>
  <c r="J142" i="22" s="1"/>
  <c r="K62" i="22"/>
  <c r="K92" i="22"/>
  <c r="F44" i="22"/>
  <c r="K208" i="22"/>
  <c r="G601" i="22"/>
  <c r="G602" i="22"/>
  <c r="G604" i="22"/>
  <c r="G603" i="22"/>
  <c r="I295" i="22"/>
  <c r="I266" i="22" s="1"/>
  <c r="I140" i="22" s="1"/>
  <c r="K101" i="22"/>
  <c r="K108" i="22" s="1"/>
  <c r="K185" i="22"/>
  <c r="H600" i="22"/>
  <c r="I600" i="22"/>
  <c r="G444" i="22"/>
  <c r="J588" i="22"/>
  <c r="J426" i="22"/>
  <c r="J63" i="22"/>
  <c r="J18" i="22"/>
  <c r="K588" i="22"/>
  <c r="K18" i="22"/>
  <c r="K426" i="22"/>
  <c r="K63" i="22"/>
  <c r="G32" i="22"/>
  <c r="G35" i="22" s="1"/>
  <c r="I142" i="22"/>
  <c r="K192" i="22"/>
  <c r="K207" i="22" s="1"/>
  <c r="K86" i="22"/>
  <c r="I259" i="22"/>
  <c r="H535" i="22"/>
  <c r="H543" i="22" s="1"/>
  <c r="H112" i="22"/>
  <c r="K178" i="22"/>
  <c r="K186" i="22" s="1"/>
  <c r="C359" i="22"/>
  <c r="C360" i="22"/>
  <c r="C362" i="22"/>
  <c r="C361" i="22"/>
  <c r="C358" i="22"/>
  <c r="K142" i="22" l="1"/>
  <c r="C402" i="22"/>
  <c r="K402" i="22" s="1"/>
  <c r="K362" i="22"/>
  <c r="J594" i="22"/>
  <c r="G358" i="22"/>
  <c r="G363" i="22" s="1"/>
  <c r="C398" i="22"/>
  <c r="C399" i="22"/>
  <c r="H359" i="22"/>
  <c r="I359" i="22" s="1"/>
  <c r="I294" i="22"/>
  <c r="I268" i="22"/>
  <c r="K594" i="22"/>
  <c r="I360" i="22"/>
  <c r="J360" i="22" s="1"/>
  <c r="C400" i="22"/>
  <c r="J64" i="22"/>
  <c r="J19" i="22"/>
  <c r="J65" i="22" s="1"/>
  <c r="J361" i="22"/>
  <c r="K361" i="22" s="1"/>
  <c r="C401" i="22"/>
  <c r="G550" i="22"/>
  <c r="G548" i="22"/>
  <c r="G547" i="22"/>
  <c r="G133" i="22"/>
  <c r="G66" i="22"/>
  <c r="G52" i="22"/>
  <c r="G41" i="22"/>
  <c r="K64" i="22"/>
  <c r="K19" i="22"/>
  <c r="K65" i="22" s="1"/>
  <c r="H358" i="22" l="1"/>
  <c r="H363" i="22" s="1"/>
  <c r="H409" i="22" s="1"/>
  <c r="J359" i="22"/>
  <c r="K359" i="22" s="1"/>
  <c r="K600" i="22"/>
  <c r="G553" i="22"/>
  <c r="G560" i="22" s="1"/>
  <c r="H399" i="22"/>
  <c r="I399" i="22" s="1"/>
  <c r="G398" i="22"/>
  <c r="G403" i="22" s="1"/>
  <c r="G554" i="22"/>
  <c r="G561" i="22" s="1"/>
  <c r="J401" i="22"/>
  <c r="K401" i="22" s="1"/>
  <c r="K360" i="22"/>
  <c r="G409" i="22"/>
  <c r="G364" i="22"/>
  <c r="G410" i="22" s="1"/>
  <c r="I400" i="22"/>
  <c r="I576" i="22"/>
  <c r="J265" i="22"/>
  <c r="I118" i="22"/>
  <c r="I536" i="22"/>
  <c r="I544" i="22" s="1"/>
  <c r="J600" i="22"/>
  <c r="G67" i="22"/>
  <c r="G53" i="22"/>
  <c r="I260" i="22"/>
  <c r="I26" i="22"/>
  <c r="I358" i="22" l="1"/>
  <c r="I363" i="22" s="1"/>
  <c r="I409" i="22" s="1"/>
  <c r="H364" i="22"/>
  <c r="H410" i="22" s="1"/>
  <c r="H411" i="22" s="1"/>
  <c r="H427" i="22" s="1"/>
  <c r="G411" i="22"/>
  <c r="G427" i="22" s="1"/>
  <c r="G434" i="22" s="1"/>
  <c r="J295" i="22"/>
  <c r="J266" i="22" s="1"/>
  <c r="J140" i="22" s="1"/>
  <c r="J400" i="22"/>
  <c r="K400" i="22" s="1"/>
  <c r="H398" i="22"/>
  <c r="I398" i="22" s="1"/>
  <c r="I403" i="22" s="1"/>
  <c r="J399" i="22"/>
  <c r="K399" i="22" s="1"/>
  <c r="G562" i="22"/>
  <c r="I139" i="22"/>
  <c r="I141" i="22" s="1"/>
  <c r="I262" i="22"/>
  <c r="G472" i="22" l="1"/>
  <c r="G457" i="22"/>
  <c r="J358" i="22"/>
  <c r="J363" i="22" s="1"/>
  <c r="J409" i="22" s="1"/>
  <c r="I364" i="22"/>
  <c r="I410" i="22" s="1"/>
  <c r="I411" i="22" s="1"/>
  <c r="I427" i="22" s="1"/>
  <c r="H403" i="22"/>
  <c r="J398" i="22"/>
  <c r="J403" i="22" s="1"/>
  <c r="I535" i="22"/>
  <c r="I543" i="22" s="1"/>
  <c r="J259" i="22"/>
  <c r="I112" i="22"/>
  <c r="J268" i="22"/>
  <c r="G43" i="22"/>
  <c r="G44" i="22"/>
  <c r="G464" i="22" l="1"/>
  <c r="G473" i="22"/>
  <c r="G435" i="22" s="1"/>
  <c r="J364" i="22"/>
  <c r="J410" i="22" s="1"/>
  <c r="J411" i="22" s="1"/>
  <c r="J427" i="22" s="1"/>
  <c r="K358" i="22"/>
  <c r="K363" i="22" s="1"/>
  <c r="K409" i="22" s="1"/>
  <c r="K398" i="22"/>
  <c r="K403" i="22" s="1"/>
  <c r="J576" i="22"/>
  <c r="J536" i="22"/>
  <c r="J544" i="22" s="1"/>
  <c r="J118" i="22"/>
  <c r="K265" i="22"/>
  <c r="J294" i="22"/>
  <c r="G436" i="22" l="1"/>
  <c r="G437" i="22" s="1"/>
  <c r="G441" i="22" s="1"/>
  <c r="G475" i="22"/>
  <c r="H471" i="22" s="1"/>
  <c r="K364" i="22"/>
  <c r="K410" i="22" s="1"/>
  <c r="K411" i="22" s="1"/>
  <c r="K427" i="22" s="1"/>
  <c r="J260" i="22"/>
  <c r="J26" i="22"/>
  <c r="K295" i="22"/>
  <c r="K266" i="22" s="1"/>
  <c r="K140" i="22" s="1"/>
  <c r="G438" i="22" l="1"/>
  <c r="G491" i="22" s="1"/>
  <c r="G492" i="22"/>
  <c r="G458" i="22"/>
  <c r="K268" i="22"/>
  <c r="J139" i="22"/>
  <c r="J141" i="22" s="1"/>
  <c r="J262" i="22"/>
  <c r="G459" i="22" l="1"/>
  <c r="G463" i="22" s="1"/>
  <c r="G465" i="22" s="1"/>
  <c r="H462" i="22" s="1"/>
  <c r="G480" i="22"/>
  <c r="G481" i="22" s="1"/>
  <c r="H479" i="22" s="1"/>
  <c r="G494" i="22"/>
  <c r="G502" i="22" s="1"/>
  <c r="G495" i="22" s="1"/>
  <c r="J535" i="22"/>
  <c r="J543" i="22" s="1"/>
  <c r="K259" i="22"/>
  <c r="J112" i="22"/>
  <c r="K536" i="22"/>
  <c r="K544" i="22" s="1"/>
  <c r="K576" i="22"/>
  <c r="K118" i="22"/>
  <c r="H456" i="22" l="1"/>
  <c r="G496" i="22"/>
  <c r="K294" i="22"/>
  <c r="G497" i="22" l="1"/>
  <c r="G501" i="22"/>
  <c r="G503" i="22" s="1"/>
  <c r="H500" i="22" s="1"/>
  <c r="G440" i="22"/>
  <c r="G442" i="22" s="1"/>
  <c r="G443" i="22" s="1"/>
  <c r="G447" i="22" s="1"/>
  <c r="G448" i="22" s="1"/>
  <c r="H446" i="22" s="1"/>
  <c r="K26" i="22"/>
  <c r="K260" i="22"/>
  <c r="G114" i="22" l="1"/>
  <c r="G143" i="22" s="1"/>
  <c r="K139" i="22"/>
  <c r="K141" i="22" s="1"/>
  <c r="K262" i="22"/>
  <c r="K535" i="22" l="1"/>
  <c r="K543" i="22" s="1"/>
  <c r="K112" i="22"/>
  <c r="G144" i="22" l="1"/>
  <c r="H144" i="22"/>
  <c r="I144" i="22"/>
  <c r="J144" i="22"/>
  <c r="K144" i="22"/>
  <c r="G145" i="22"/>
  <c r="G146" i="22" l="1"/>
  <c r="G147" i="22" s="1"/>
  <c r="G221" i="22" s="1"/>
  <c r="G222" i="22" s="1"/>
  <c r="G227" i="22" s="1"/>
  <c r="G230" i="22" l="1"/>
  <c r="G239" i="22"/>
  <c r="G231" i="22" l="1"/>
  <c r="G156" i="22" s="1"/>
  <c r="G240" i="22"/>
  <c r="G241" i="22" s="1"/>
  <c r="G232" i="22" l="1"/>
  <c r="G233" i="22" s="1"/>
  <c r="G249" i="22"/>
  <c r="G250" i="22" s="1"/>
  <c r="H247" i="22" s="1"/>
  <c r="G244" i="22"/>
  <c r="H289" i="22" s="1"/>
  <c r="G109" i="22"/>
  <c r="H238" i="22"/>
  <c r="G110" i="22"/>
  <c r="G575" i="22" l="1"/>
  <c r="G255" i="22"/>
  <c r="G256" i="22" s="1"/>
  <c r="H253" i="22" s="1"/>
  <c r="G157" i="22"/>
  <c r="G611" i="22"/>
  <c r="H291" i="22"/>
  <c r="G155" i="22"/>
  <c r="H248" i="22"/>
  <c r="H223" i="22" s="1"/>
  <c r="H292" i="22"/>
  <c r="H24" i="22" s="1"/>
  <c r="H23" i="22"/>
  <c r="G111" i="22" l="1"/>
  <c r="G113" i="22" s="1"/>
  <c r="G116" i="22" s="1"/>
  <c r="H22" i="22"/>
  <c r="H293" i="22"/>
  <c r="H254" i="22"/>
  <c r="H224" i="22" s="1"/>
  <c r="G573" i="22" l="1"/>
  <c r="H25" i="22"/>
  <c r="H299" i="22"/>
  <c r="H297" i="22"/>
  <c r="H581" i="22" s="1"/>
  <c r="G612" i="22"/>
  <c r="H300" i="22"/>
  <c r="H298" i="22"/>
  <c r="H582" i="22" s="1"/>
  <c r="H226" i="22"/>
  <c r="H301" i="22" l="1"/>
  <c r="H302" i="22" s="1"/>
  <c r="H589" i="22"/>
  <c r="H595" i="22"/>
  <c r="H601" i="22"/>
  <c r="H583" i="22"/>
  <c r="H590" i="22"/>
  <c r="H596" i="22"/>
  <c r="H602" i="22"/>
  <c r="H34" i="22" l="1"/>
  <c r="H584" i="22"/>
  <c r="H591" i="22"/>
  <c r="H597" i="22"/>
  <c r="H603" i="22"/>
  <c r="H592" i="22" l="1"/>
  <c r="H598" i="22"/>
  <c r="H604" i="22"/>
  <c r="H145" i="22"/>
  <c r="I145" i="22"/>
  <c r="J145" i="22"/>
  <c r="K145" i="22"/>
  <c r="H160" i="22"/>
  <c r="I160" i="22"/>
  <c r="J160" i="22"/>
  <c r="K160" i="22"/>
  <c r="G119" i="22"/>
  <c r="G69" i="22" s="1"/>
  <c r="G160" i="22"/>
  <c r="G161" i="22" s="1"/>
  <c r="G163" i="22" s="1"/>
  <c r="G84" i="22" s="1"/>
  <c r="G577" i="22" l="1"/>
  <c r="G608" i="22" s="1"/>
  <c r="H21" i="22"/>
  <c r="H27" i="22" s="1"/>
  <c r="G574" i="22"/>
  <c r="G614" i="22" s="1"/>
  <c r="H218" i="22"/>
  <c r="H220" i="22" s="1"/>
  <c r="G120" i="22"/>
  <c r="G70" i="22"/>
  <c r="G89" i="22"/>
  <c r="G97" i="22" s="1"/>
  <c r="H30" i="22" l="1"/>
  <c r="H31" i="22" s="1"/>
  <c r="H444" i="22" s="1"/>
  <c r="H431" i="22"/>
  <c r="H434" i="22" s="1"/>
  <c r="G609" i="22"/>
  <c r="G613" i="22"/>
  <c r="G71" i="22"/>
  <c r="G122" i="22"/>
  <c r="H32" i="22" l="1"/>
  <c r="H35" i="22" s="1"/>
  <c r="H133" i="22" s="1"/>
  <c r="H472" i="22"/>
  <c r="H457" i="22"/>
  <c r="H547" i="22" l="1"/>
  <c r="H66" i="22"/>
  <c r="H52" i="22"/>
  <c r="H548" i="22"/>
  <c r="H119" i="22"/>
  <c r="H70" i="22" s="1"/>
  <c r="H41" i="22"/>
  <c r="H67" i="22" s="1"/>
  <c r="H550" i="22"/>
  <c r="H473" i="22"/>
  <c r="H475" i="22" s="1"/>
  <c r="I471" i="22" s="1"/>
  <c r="H464" i="22"/>
  <c r="H458" i="22"/>
  <c r="H459" i="22" s="1"/>
  <c r="H53" i="22" l="1"/>
  <c r="H554" i="22"/>
  <c r="H561" i="22" s="1"/>
  <c r="H553" i="22"/>
  <c r="H560" i="22" s="1"/>
  <c r="H435" i="22"/>
  <c r="H436" i="22" s="1"/>
  <c r="H437" i="22" s="1"/>
  <c r="H463" i="22"/>
  <c r="H465" i="22" s="1"/>
  <c r="I462" i="22" s="1"/>
  <c r="I456" i="22"/>
  <c r="H480" i="22"/>
  <c r="H481" i="22" s="1"/>
  <c r="I479" i="22" s="1"/>
  <c r="H562" i="22" l="1"/>
  <c r="H43" i="22" s="1"/>
  <c r="H438" i="22"/>
  <c r="H491" i="22" s="1"/>
  <c r="H441" i="22"/>
  <c r="H492" i="22"/>
  <c r="H44" i="22" l="1"/>
  <c r="H501" i="22"/>
  <c r="H494" i="22"/>
  <c r="H502" i="22" s="1"/>
  <c r="H495" i="22" s="1"/>
  <c r="H496" i="22" l="1"/>
  <c r="H503" i="22"/>
  <c r="I500" i="22" s="1"/>
  <c r="H440" i="22" l="1"/>
  <c r="H442" i="22" s="1"/>
  <c r="H443" i="22" s="1"/>
  <c r="H447" i="22" s="1"/>
  <c r="H448" i="22" s="1"/>
  <c r="H497" i="22"/>
  <c r="H114" i="22" l="1"/>
  <c r="H143" i="22" s="1"/>
  <c r="H146" i="22" s="1"/>
  <c r="H147" i="22" s="1"/>
  <c r="H221" i="22" s="1"/>
  <c r="H222" i="22" s="1"/>
  <c r="H227" i="22" s="1"/>
  <c r="I446" i="22"/>
  <c r="H230" i="22" l="1"/>
  <c r="H231" i="22" s="1"/>
  <c r="H239" i="22"/>
  <c r="H232" i="22" l="1"/>
  <c r="H157" i="22" s="1"/>
  <c r="H156" i="22"/>
  <c r="H240" i="22"/>
  <c r="H241" i="22" s="1"/>
  <c r="H249" i="22"/>
  <c r="H250" i="22" s="1"/>
  <c r="H110" i="22" s="1"/>
  <c r="H233" i="22" l="1"/>
  <c r="I238" i="22"/>
  <c r="I291" i="22" s="1"/>
  <c r="H109" i="22"/>
  <c r="H155" i="22" s="1"/>
  <c r="H161" i="22" s="1"/>
  <c r="H163" i="22" s="1"/>
  <c r="H84" i="22" s="1"/>
  <c r="H575" i="22"/>
  <c r="H611" i="22" s="1"/>
  <c r="I247" i="22"/>
  <c r="H255" i="22"/>
  <c r="H256" i="22" s="1"/>
  <c r="H111" i="22" s="1"/>
  <c r="H244" i="22"/>
  <c r="I289" i="22" s="1"/>
  <c r="I23" i="22" s="1"/>
  <c r="I248" i="22" l="1"/>
  <c r="I223" i="22" s="1"/>
  <c r="H113" i="22"/>
  <c r="H69" i="22" s="1"/>
  <c r="I253" i="22"/>
  <c r="I292" i="22"/>
  <c r="I24" i="22" s="1"/>
  <c r="I22" i="22"/>
  <c r="I21" i="22"/>
  <c r="I218" i="22"/>
  <c r="I220" i="22" s="1"/>
  <c r="H89" i="22"/>
  <c r="H97" i="22" s="1"/>
  <c r="I254" i="22" l="1"/>
  <c r="I224" i="22" s="1"/>
  <c r="I226" i="22" s="1"/>
  <c r="H573" i="22"/>
  <c r="H574" i="22" s="1"/>
  <c r="H116" i="22"/>
  <c r="H120" i="22" s="1"/>
  <c r="H122" i="22" s="1"/>
  <c r="I293" i="22"/>
  <c r="I300" i="22" s="1"/>
  <c r="I301" i="22" s="1"/>
  <c r="I302" i="22" s="1"/>
  <c r="I34" i="22" s="1"/>
  <c r="H71" i="22"/>
  <c r="H612" i="22" l="1"/>
  <c r="H577" i="22"/>
  <c r="H608" i="22" s="1"/>
  <c r="I299" i="22"/>
  <c r="I583" i="22" s="1"/>
  <c r="I603" i="22" s="1"/>
  <c r="I297" i="22"/>
  <c r="I581" i="22" s="1"/>
  <c r="I595" i="22" s="1"/>
  <c r="I298" i="22"/>
  <c r="I582" i="22" s="1"/>
  <c r="I602" i="22" s="1"/>
  <c r="I25" i="22"/>
  <c r="I27" i="22" s="1"/>
  <c r="I30" i="22" s="1"/>
  <c r="H613" i="22"/>
  <c r="H614" i="22"/>
  <c r="H609" i="22" l="1"/>
  <c r="I590" i="22"/>
  <c r="I596" i="22"/>
  <c r="I584" i="22"/>
  <c r="I592" i="22" s="1"/>
  <c r="I597" i="22"/>
  <c r="I591" i="22"/>
  <c r="I431" i="22"/>
  <c r="I434" i="22" s="1"/>
  <c r="I472" i="22" s="1"/>
  <c r="I589" i="22"/>
  <c r="I601" i="22"/>
  <c r="I31" i="22"/>
  <c r="I457" i="22" l="1"/>
  <c r="I464" i="22" s="1"/>
  <c r="I604" i="22"/>
  <c r="I598" i="22"/>
  <c r="I444" i="22"/>
  <c r="I473" i="22"/>
  <c r="I32" i="22"/>
  <c r="I35" i="22" s="1"/>
  <c r="I435" i="22" l="1"/>
  <c r="I436" i="22" s="1"/>
  <c r="I437" i="22" s="1"/>
  <c r="I458" i="22"/>
  <c r="I459" i="22" s="1"/>
  <c r="I463" i="22" s="1"/>
  <c r="I465" i="22" s="1"/>
  <c r="J462" i="22" s="1"/>
  <c r="I475" i="22"/>
  <c r="J471" i="22" s="1"/>
  <c r="I133" i="22"/>
  <c r="I52" i="22"/>
  <c r="I66" i="22"/>
  <c r="I547" i="22"/>
  <c r="I548" i="22"/>
  <c r="I550" i="22"/>
  <c r="I41" i="22"/>
  <c r="I119" i="22"/>
  <c r="J456" i="22" l="1"/>
  <c r="I480" i="22"/>
  <c r="I481" i="22" s="1"/>
  <c r="J479" i="22" s="1"/>
  <c r="I554" i="22"/>
  <c r="I561" i="22" s="1"/>
  <c r="I53" i="22"/>
  <c r="I67" i="22"/>
  <c r="I441" i="22"/>
  <c r="I492" i="22"/>
  <c r="I553" i="22"/>
  <c r="I560" i="22" s="1"/>
  <c r="I70" i="22"/>
  <c r="I438" i="22"/>
  <c r="I491" i="22" s="1"/>
  <c r="I562" i="22" l="1"/>
  <c r="I43" i="22" s="1"/>
  <c r="I494" i="22"/>
  <c r="I501" i="22"/>
  <c r="I44" i="22" l="1"/>
  <c r="I502" i="22"/>
  <c r="I495" i="22" s="1"/>
  <c r="I496" i="22" s="1"/>
  <c r="I503" i="22" l="1"/>
  <c r="J500" i="22" s="1"/>
  <c r="I440" i="22"/>
  <c r="I442" i="22" s="1"/>
  <c r="I443" i="22" s="1"/>
  <c r="I447" i="22" s="1"/>
  <c r="I448" i="22" s="1"/>
  <c r="I497" i="22"/>
  <c r="I114" i="22" l="1"/>
  <c r="I143" i="22" s="1"/>
  <c r="I146" i="22" s="1"/>
  <c r="I147" i="22" s="1"/>
  <c r="J446" i="22"/>
  <c r="I221" i="22" l="1"/>
  <c r="I222" i="22" s="1"/>
  <c r="I227" i="22" s="1"/>
  <c r="I230" i="22" l="1"/>
  <c r="I231" i="22" s="1"/>
  <c r="I239" i="22"/>
  <c r="I232" i="22" l="1"/>
  <c r="I240" i="22"/>
  <c r="I241" i="22" s="1"/>
  <c r="I109" i="22" l="1"/>
  <c r="I244" i="22"/>
  <c r="J289" i="22" s="1"/>
  <c r="J238" i="22"/>
  <c r="I249" i="22"/>
  <c r="I250" i="22" s="1"/>
  <c r="I575" i="22" s="1"/>
  <c r="I156" i="22"/>
  <c r="I611" i="22" l="1"/>
  <c r="J23" i="22"/>
  <c r="I255" i="22"/>
  <c r="I256" i="22" s="1"/>
  <c r="I157" i="22"/>
  <c r="I233" i="22"/>
  <c r="I110" i="22"/>
  <c r="J247" i="22"/>
  <c r="J291" i="22"/>
  <c r="I155" i="22"/>
  <c r="I161" i="22" l="1"/>
  <c r="I163" i="22" s="1"/>
  <c r="J22" i="22"/>
  <c r="J292" i="22"/>
  <c r="J24" i="22" s="1"/>
  <c r="J248" i="22"/>
  <c r="J223" i="22" s="1"/>
  <c r="I111" i="22"/>
  <c r="I113" i="22" s="1"/>
  <c r="J253" i="22"/>
  <c r="I84" i="22" l="1"/>
  <c r="I89" i="22" s="1"/>
  <c r="I97" i="22" s="1"/>
  <c r="I71" i="22" s="1"/>
  <c r="I116" i="22"/>
  <c r="I120" i="22" s="1"/>
  <c r="I573" i="22"/>
  <c r="I69" i="22"/>
  <c r="J254" i="22"/>
  <c r="J224" i="22" s="1"/>
  <c r="J226" i="22" s="1"/>
  <c r="J293" i="22"/>
  <c r="J299" i="22" s="1"/>
  <c r="J21" i="22" l="1"/>
  <c r="J218" i="22"/>
  <c r="J220" i="22" s="1"/>
  <c r="I122" i="22"/>
  <c r="J583" i="22"/>
  <c r="J25" i="22"/>
  <c r="J297" i="22"/>
  <c r="J581" i="22" s="1"/>
  <c r="I577" i="22"/>
  <c r="I608" i="22" s="1"/>
  <c r="I612" i="22"/>
  <c r="I574" i="22"/>
  <c r="J298" i="22"/>
  <c r="J582" i="22" s="1"/>
  <c r="J300" i="22"/>
  <c r="J27" i="22" l="1"/>
  <c r="J30" i="22" s="1"/>
  <c r="J590" i="22"/>
  <c r="J596" i="22"/>
  <c r="J602" i="22"/>
  <c r="I609" i="22"/>
  <c r="I614" i="22"/>
  <c r="I613" i="22"/>
  <c r="J589" i="22"/>
  <c r="J595" i="22"/>
  <c r="J601" i="22"/>
  <c r="J301" i="22"/>
  <c r="J302" i="22" s="1"/>
  <c r="J591" i="22"/>
  <c r="J597" i="22"/>
  <c r="J603" i="22"/>
  <c r="J431" i="22" l="1"/>
  <c r="J434" i="22" s="1"/>
  <c r="J457" i="22" s="1"/>
  <c r="J31" i="22"/>
  <c r="J32" i="22" s="1"/>
  <c r="J34" i="22"/>
  <c r="J584" i="22"/>
  <c r="J472" i="22" l="1"/>
  <c r="J473" i="22" s="1"/>
  <c r="J435" i="22" s="1"/>
  <c r="J436" i="22" s="1"/>
  <c r="J35" i="22"/>
  <c r="J52" i="22" s="1"/>
  <c r="J464" i="22"/>
  <c r="J458" i="22"/>
  <c r="J459" i="22" s="1"/>
  <c r="J592" i="22"/>
  <c r="J598" i="22"/>
  <c r="J604" i="22"/>
  <c r="J444" i="22"/>
  <c r="J547" i="22" l="1"/>
  <c r="J133" i="22"/>
  <c r="J119" i="22"/>
  <c r="J70" i="22" s="1"/>
  <c r="J66" i="22"/>
  <c r="J550" i="22"/>
  <c r="J41" i="22"/>
  <c r="J53" i="22" s="1"/>
  <c r="J548" i="22"/>
  <c r="J475" i="22"/>
  <c r="K471" i="22" s="1"/>
  <c r="K456" i="22"/>
  <c r="J463" i="22"/>
  <c r="J465" i="22" s="1"/>
  <c r="K462" i="22" s="1"/>
  <c r="J437" i="22"/>
  <c r="J438" i="22" s="1"/>
  <c r="J491" i="22" s="1"/>
  <c r="J480" i="22"/>
  <c r="J481" i="22" s="1"/>
  <c r="K479" i="22" s="1"/>
  <c r="J553" i="22" l="1"/>
  <c r="J560" i="22" s="1"/>
  <c r="J67" i="22"/>
  <c r="J554" i="22"/>
  <c r="J561" i="22" s="1"/>
  <c r="J441" i="22"/>
  <c r="J492" i="22"/>
  <c r="J501" i="22" s="1"/>
  <c r="J562" i="22" l="1"/>
  <c r="J43" i="22" s="1"/>
  <c r="J494" i="22"/>
  <c r="J502" i="22" s="1"/>
  <c r="J495" i="22" s="1"/>
  <c r="J496" i="22" s="1"/>
  <c r="J44" i="22" l="1"/>
  <c r="J503" i="22"/>
  <c r="K500" i="22" s="1"/>
  <c r="J440" i="22"/>
  <c r="J442" i="22" s="1"/>
  <c r="J443" i="22" s="1"/>
  <c r="J447" i="22" s="1"/>
  <c r="J448" i="22" s="1"/>
  <c r="J497" i="22"/>
  <c r="J114" i="22" l="1"/>
  <c r="J143" i="22" s="1"/>
  <c r="J146" i="22" s="1"/>
  <c r="J147" i="22" s="1"/>
  <c r="K446" i="22"/>
  <c r="J221" i="22" l="1"/>
  <c r="J222" i="22" s="1"/>
  <c r="J227" i="22" s="1"/>
  <c r="J230" i="22" l="1"/>
  <c r="J231" i="22" s="1"/>
  <c r="J239" i="22"/>
  <c r="J232" i="22" l="1"/>
  <c r="J249" i="22"/>
  <c r="J250" i="22" s="1"/>
  <c r="J156" i="22"/>
  <c r="J240" i="22"/>
  <c r="J241" i="22" s="1"/>
  <c r="J109" i="22" l="1"/>
  <c r="K238" i="22"/>
  <c r="J575" i="22"/>
  <c r="J244" i="22"/>
  <c r="K289" i="22" s="1"/>
  <c r="J255" i="22"/>
  <c r="J256" i="22" s="1"/>
  <c r="J157" i="22"/>
  <c r="J110" i="22"/>
  <c r="K247" i="22"/>
  <c r="J233" i="22"/>
  <c r="K248" i="22" l="1"/>
  <c r="K223" i="22" s="1"/>
  <c r="K292" i="22"/>
  <c r="K24" i="22" s="1"/>
  <c r="K23" i="22"/>
  <c r="K291" i="22"/>
  <c r="J111" i="22"/>
  <c r="J113" i="22" s="1"/>
  <c r="K253" i="22"/>
  <c r="J611" i="22"/>
  <c r="J155" i="22"/>
  <c r="J161" i="22" s="1"/>
  <c r="J163" i="22" s="1"/>
  <c r="J84" i="22" s="1"/>
  <c r="J116" i="22" l="1"/>
  <c r="J120" i="22" s="1"/>
  <c r="J573" i="22"/>
  <c r="J69" i="22"/>
  <c r="K21" i="22"/>
  <c r="J89" i="22"/>
  <c r="J97" i="22" s="1"/>
  <c r="K218" i="22"/>
  <c r="K220" i="22" s="1"/>
  <c r="K254" i="22"/>
  <c r="K224" i="22" s="1"/>
  <c r="K293" i="22"/>
  <c r="K297" i="22" s="1"/>
  <c r="K581" i="22" s="1"/>
  <c r="K22" i="22"/>
  <c r="K300" i="22" l="1"/>
  <c r="K301" i="22" s="1"/>
  <c r="K302" i="22" s="1"/>
  <c r="K34" i="22" s="1"/>
  <c r="K589" i="22"/>
  <c r="K595" i="22"/>
  <c r="K601" i="22"/>
  <c r="K25" i="22"/>
  <c r="K299" i="22"/>
  <c r="J122" i="22"/>
  <c r="J71" i="22"/>
  <c r="K27" i="22"/>
  <c r="J574" i="22"/>
  <c r="J577" i="22"/>
  <c r="J608" i="22" s="1"/>
  <c r="J612" i="22"/>
  <c r="K226" i="22"/>
  <c r="K298" i="22"/>
  <c r="K582" i="22" s="1"/>
  <c r="K30" i="22" l="1"/>
  <c r="K431" i="22"/>
  <c r="K434" i="22" s="1"/>
  <c r="K584" i="22"/>
  <c r="K583" i="22"/>
  <c r="K590" i="22"/>
  <c r="K596" i="22"/>
  <c r="K602" i="22"/>
  <c r="J613" i="22"/>
  <c r="J609" i="22"/>
  <c r="J614" i="22"/>
  <c r="K591" i="22" l="1"/>
  <c r="K597" i="22"/>
  <c r="K603" i="22"/>
  <c r="K457" i="22"/>
  <c r="K472" i="22"/>
  <c r="K592" i="22"/>
  <c r="K598" i="22"/>
  <c r="K604" i="22"/>
  <c r="K31" i="22"/>
  <c r="K32" i="22" s="1"/>
  <c r="K35" i="22" s="1"/>
  <c r="K133" i="22" l="1"/>
  <c r="K41" i="22"/>
  <c r="K52" i="22"/>
  <c r="K66" i="22"/>
  <c r="K547" i="22"/>
  <c r="K548" i="22"/>
  <c r="K550" i="22"/>
  <c r="K119" i="22"/>
  <c r="K70" i="22" s="1"/>
  <c r="K473" i="22"/>
  <c r="K475" i="22" s="1"/>
  <c r="K444" i="22"/>
  <c r="K464" i="22"/>
  <c r="K458" i="22"/>
  <c r="K480" i="22" l="1"/>
  <c r="K481" i="22" s="1"/>
  <c r="K435" i="22"/>
  <c r="K436" i="22" s="1"/>
  <c r="K437" i="22" s="1"/>
  <c r="K438" i="22" s="1"/>
  <c r="K491" i="22" s="1"/>
  <c r="K553" i="22"/>
  <c r="K560" i="22" s="1"/>
  <c r="K459" i="22"/>
  <c r="K463" i="22" s="1"/>
  <c r="K465" i="22" s="1"/>
  <c r="K554" i="22"/>
  <c r="K561" i="22" s="1"/>
  <c r="K53" i="22"/>
  <c r="K67" i="22"/>
  <c r="K562" i="22" l="1"/>
  <c r="K441" i="22"/>
  <c r="K492" i="22"/>
  <c r="K501" i="22" s="1"/>
  <c r="K43" i="22" l="1"/>
  <c r="K44" i="22"/>
  <c r="K494" i="22"/>
  <c r="K502" i="22" l="1"/>
  <c r="K495" i="22" l="1"/>
  <c r="K496" i="22" s="1"/>
  <c r="K503" i="22"/>
  <c r="K440" i="22" l="1"/>
  <c r="K442" i="22" s="1"/>
  <c r="K443" i="22" s="1"/>
  <c r="K447" i="22" s="1"/>
  <c r="K448" i="22" s="1"/>
  <c r="K114" i="22" s="1"/>
  <c r="K143" i="22" s="1"/>
  <c r="K146" i="22" s="1"/>
  <c r="K147" i="22" s="1"/>
  <c r="K497" i="22"/>
  <c r="K221" i="22" l="1"/>
  <c r="K222" i="22" s="1"/>
  <c r="K227" i="22" s="1"/>
  <c r="K230" i="22" l="1"/>
  <c r="K231" i="22" s="1"/>
  <c r="K239" i="22"/>
  <c r="K232" i="22" l="1"/>
  <c r="K240" i="22"/>
  <c r="K241" i="22" s="1"/>
  <c r="K244" i="22" l="1"/>
  <c r="K109" i="22"/>
  <c r="K249" i="22"/>
  <c r="K250" i="22" s="1"/>
  <c r="K110" i="22" s="1"/>
  <c r="K156" i="22"/>
  <c r="K255" i="22" l="1"/>
  <c r="K256" i="22" s="1"/>
  <c r="K111" i="22" s="1"/>
  <c r="K113" i="22" s="1"/>
  <c r="K157" i="22"/>
  <c r="K233" i="22"/>
  <c r="K155" i="22"/>
  <c r="K575" i="22"/>
  <c r="K161" i="22" l="1"/>
  <c r="K163" i="22" s="1"/>
  <c r="K611" i="22"/>
  <c r="K573" i="22"/>
  <c r="K116" i="22"/>
  <c r="K120" i="22" s="1"/>
  <c r="K69" i="22"/>
  <c r="K84" i="22" l="1"/>
  <c r="K89" i="22" s="1"/>
  <c r="K97" i="22" s="1"/>
  <c r="K577" i="22"/>
  <c r="K608" i="22" s="1"/>
  <c r="K612" i="22"/>
  <c r="K71" i="22" l="1"/>
  <c r="K122" i="22"/>
  <c r="K574" i="22"/>
  <c r="K614" i="22" s="1"/>
  <c r="K609" i="22" l="1"/>
  <c r="K613"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 McFarlan</author>
  </authors>
  <commentList>
    <comment ref="A1" authorId="0" shapeId="0" xr:uid="{00000000-0006-0000-0100-000001000000}">
      <text>
        <r>
          <rPr>
            <b/>
            <sz val="9"/>
            <color indexed="81"/>
            <rFont val="Tahoma"/>
            <family val="2"/>
          </rPr>
          <t>卟䙄_x0001_＀＀뤘兓&amp;䙒䥞彃卅䥔䅍䕔䔨卐䴬䅅ⱎ呑归佒䱌⬬ⰵ⤰_x0018_＀＀_x0018_＀＀_x0008_＀＀_x0001_＀＀_x0001_＀＀⛪࠱Წ㿊뤛兓+单幂䍉䕟呓䵉呁⡅䕎彔义ⱃ䕍乁儬剔剟䱏ⱌ㔫〬착_x0018_＀＀_x0018_＀＀_x0008_＀＀_x0001_＀＀_x0001_＀＀ꗣ쒛㜠䂖뤗兓＀Ｏ单幂䝒彆佃彍䡓当問彔偅当䥄⡌位ⱎⰰⰬⰬ丬䅏䑕呉착_x0018_＀＀_x0018_＀＀_x0008_＀＀_x0001_＀＀_x0001_＀＀＀＀＀＀ꀀ䂝뤖兓_x0015_䉂幔彐啃剒久奃∨卉≏착_x0014_＀＀_x0018_＀＀_x0004_＀＀_x0001_＀＀_x0008_＀＀单D뤘兓&amp;䙒䥞彃卅䥔䅍䕔䔨卐䴬䅅ⱎ呑归佒䱌⬬ⰲ⤰_x0018_＀＀_x0018_＀＀_x0008_＀＀_x0001_＀＀_x0001_＀＀⛪࠱Წ㿊뤜兓-午䅂䜭幂䍉䕟呓䵉呁⡅䕎彔义ⱃ䕍乁䄬乎⬬〲㔱〬착_x0018_＀＀_x0018_＀＀_x0008_＀＀_x0001_＀＀_x0001_＀＀롒蔞珋䃗뤘兓'䡆幎䍉䕟呓䵉呁⡅偅ⱓ䕍乁儬剔剟䱏ⱌ㜫〬착_x0018_＀＀_x0018_＀＀_x0008_＀＀_x0001_＀＀_x0001_＀＀嘄ⴎ鶲㿏뤚兓+单幂䍉䕟呓䵉呁⡅䕎彔义ⱃ䕍乁儬剔剟䱏ⱌ㈫〬착_x0018_＀＀_x0018_＀＀_x0008_＀＀_x0001_＀＀_x0001_＀＀⋐彛䂖뤛兓＀Ｏ午䅂䜭幂䍉䕟呓䵉呁⡅䕎彔义ⱃ䕍乁儬剔剟䱏ⱌ㘫〬착_x0018_＀＀_x0018_＀＀_x0008_＀＀_x0001_＀＀_x0001_＀＀豀碵꼝쐕뤙兓%䉂幔䍉䕟呓䵉呁⡅偅ⱓ䕍乁䄬乎⬬〲㌱〬착_x0018_＀＀_x0018_＀＀_x0008_＀＀_x0001_＀＀_x0001_＀＀ᑺ䞮䀇뤘兓'䡆幎䍉䕟呓䵉呁⡅偅ⱓ䕍乁儬剔剟䱏ⱌ㐫〬착_x0018_＀＀_x0018_＀＀_x0008_＀＀_x0001_＀＀_x0001_＀＀뀡桲㿌뤛兓*䙒䥞彃卅䥔䅍䕔丨呅䥟䍎䴬䅅ⱎ呑归佒䱌⬬ⰷ⤰_x0018_＀＀_x0018_＀＀_x0008_＀＀_x0001_＀＀_x0001_＀＀ొ⬂䂇䁲뤙兓'䉂幔䍉䕟呓䵉呁⡅偅ⱓ䕍乁儬剔剟䱏ⱌ㠫〬착_x0018_＀＀_x0018_＀＀_x0008_＀＀_x0001_＀＀_x0001_＀＀멞౉⬂㿫뤜兓,䅓ⵎ卅䥞彃卅䥔䅍䕔丨呅䥟䍎䴬䅅ⱎ乁ⱎ㈫㄰ⰴ⤰_x0018_＀＀_x0018_＀＀_x0008_＀＀_x0001_＀＀_x0001_＀＀쫁䖡糖䂽뤝兓*偞䕟䍘彈䅒䕔䨨奐唬䑓㐬㈱㘲〮㘴㈱㘲㔸ⰲⰬ⤰_x0018_＀＀_x0018_＀＀_x0008_＀＀_x0001_＀＀_x0001_＀＀塋呎쟌㾉뤚兓＀Ｏ午䅂䜭幂䍉䕟呓䵉呁⡅䕎彔义ⱃ䕍乁儬剔剟䱏ⱌ㌫〬착_x0018_＀＀_x0018_＀＀_x0008_＀＀_x0001_＀＀_x0001_＀＀豀碵꼝쐕뤘兓'䡆幎䍉䕟呓䵉呁⡅偅ⱓ䕍乁儬剔剟䱏ⱌㄫ〬착_x0018_＀＀_x0018_＀＀_x0008_＀＀_x0001_＀＀_x0001_＀＀尨슏㿅뤚兓*䙒䥞彃卅䥔䅍䕔丨呅䥟䍎䴬䅅ⱎ呑归佒䱌⬬ⰴ⤰_x0018_＀＀_x0018_＀＀_x0008_＀＀_x0001_＀＀_x0001_＀＀ᑻ䞮僡䁲뤙兓+午䅂䜭幂䍉䕟呓䵉呁⡅偅ⱓ䕍乁儬剔剟䱏ⱌ㠫〬착_x0018_＀＀_x0018_＀＀_x0008_＀＀_x0001_＀＀_x0001_＀＀豀碵꼝쐕뤘兓'䉂幔䍉䕟呓䵉呁⡅偅ⱓ䕍乁儬剔剟䱏ⱌ㔫〬착_x0018_＀＀_x0018_＀＀_x0008_＀＀_x0001_＀＀_x0001_＀＀俟鞍ቮ㿧뤜兓.䅓ⵎ卅䥞彃卅䥔䅍䕔丨呅䥟䍎䴬䅅ⱎ呑归佒䱌⬬ⰸ⤰_x0018_＀＀_x0018_＀＀_x0008_＀＀_x0001_＀＀_x0001_＀＀豀碵꼝쐕뤖兓_x001D_乐幃彐剐䍉⡅ㄴ㈲⸶㐰ㄶ㈲㠶㈵착_x0018_＀＀_x0018_＀＀_x0008_＀＀_x0001_＀＀_x0001_＀＀ᑻ䞮竡䁋뤚兓*䙒䥞彃卅䥔䅍䕔丨呅䥟䍎䴬䅅ⱎ呑归佒䱌⬬ⰱ⤰_x0018_＀＀_x0018_＀＀_x0008_＀＀_x0001_＀＀_x0001_＀＀⬂ᚇ櫙䁱뤘兓+午䅂䜭幂䍉䕟呓䵉呁⡅偅ⱓ䕍乁儬剔剟䱏ⱌ㔫〬착_x0018_＀＀_x0018_＀＀_x0008_＀＀_x0001_＀＀_x0001_＀＀豀碵꼝쐕뤘兓'䉂幔䍉䕟呓䵉呁⡅偅ⱓ䕍乁儬剔剟䱏ⱌ㈫〬착_x0018_＀＀_x0018_＀＀_x0008_＀＀_x0001_＀＀_x0001_＀＀閁譃㿧뤙兓'乐幃䍉䕟呓䵉呁⡅偅ⱓ䕍乁儬剔剟䱏ⱌ㠫〬착_x0018_＀＀_x0018_＀＀_x0008_＀＀_x0001_＀＀_x0001_＀＀䯇褷恁㿽뤛兓+呓幉䍉䕟呓䵉呁⡅䕎彔义ⱃ䕍乁儬剔剟䱏ⱌ㘫〬착_x0018_＀＀_x0018_＀＀_x0008_＀＀_x0001_＀＀_x0001_＀＀ㄧ갈␜䁸뤛兓.䅓ⵎ卅䥞彃卅䥔䅍䕔丨呅䥟䍎䴬䅅ⱎ呑归佒䱌⬬ⰵ⤰_x0018_＀＀_x0018_＀＀_x0008_＀＀_x0001_＀＀_x0001_＀＀豀碵꼝쐕뤜兓)呓幉䍉䕟呓䵉呁⡅䕎彔义ⱃ䕍乁䄬乎⬬〲㌱〬착_x0018_＀＀_x0018_＀＀_x0008_＀＀_x0001_＀＀_x0001_＀＀뀡桲鮑䂖뤘兓+午䅂䜭幂䍉䕟呓䵉呁⡅偅ⱓ䕍乁儬剔剟䱏ⱌ㈫〬착_x0018_＀＀_x0018_＀＀_x0008_＀＀_x0001_＀＀_x0001_＀＀豀碵꼝쐕뤖兓_x0017_䅓ⵎ卅偞䍟䵏卟午佟呕〨착_x0018_＀＀_x0018_＀＀_x0008_＀＀_x0001_＀＀_x0001_＀＀䎖沋镗䃄뤘兓'乐幃䍉䕟呓䵉呁⡅偅ⱓ䕍乁儬剔剟䱏ⱌ㔫〬착_x0018_＀＀_x0018_＀＀_x0008_＀＀_x0001_＀＀_x0001_＀＀눭욧㿹뤜兓)单幂䍉䕟呓䵉呁⡅䕎彔义ⱃ䕍乁䄬乎⬬〲㌱〬착_x0018_＀＀_x0018_＀＀_x0008_＀＀_x0001_＀＀_x0001_＀＀司ꗣ㢻䂶뤚兓+呓幉䍉䕟呓䵉呁⡅䕎彔义ⱃ䕍乁儬剔剟䱏ⱌ㌫〬착_x0018_＀＀_x0018_＀＀_x0008_＀＀_x0001_＀＀_x0001_＀＀帵䦺䐌䁷뤚兓.䅓ⵎ卅䥞彃卅䥔䅍䕔丨呅䥟䍎䴬䅅ⱎ呑归佒䱌⬬ⰲ⤰_x0018_＀＀_x0018_＀＀_x0008_＀＀_x0001_＀＀_x0001_＀＀鞍ቮﰃ䂕뤙兓&amp;㌸㘰䥞彃卅䥔䅍䕔䔨卐䴬䅅ⱎ乁ⱎ㈫㄰ⰴ⤰_x0018_＀＀_x0018_＀＀_x0008_＀＀_x0001_＀＀_x0001_＀＀犰酨볭䁊뤘兓'乐幃䍉䕟呓䵉呁⡅偅ⱓ䕍乁儬剔剟䱏ⱌ㈫〬착_x0018_＀＀_x0018_＀＀_x0008_＀＀_x0001_＀＀_x0001_＀＀磕⛩࠱㿺뤙兓(䅓ⵎ卅䥞彃卅䥔䅍䕔䔨卐䴬䅅ⱎ乁ⱎ㈫㄰ⰴ⤰_x0018_＀＀_x0018_＀＀_x0008_＀＀_x0001_＀＀_x0001_＀＀恂탥_xDB22_㿥뤘兓)䑔䌭幁䍉䕟呓䵉呁⡅偅ⱓ䕍乁儬剔剟䱏ⱌ㘫〬착_x0018_＀＀_x0018_＀＀_x0008_＀＀_x0001_＀＀_x0001_＀＀뱫鍴И䀁뤘兓(㌸㘰䥞彃卅䥔䅍䕔䔨卐䴬䅅ⱎ呑归佒䱌⬬ⰶ⤰_x0018_＀＀_x0018_＀＀_x0008_＀＀_x0001_＀＀_x0001_＀＀豀碵꼝쐕뤘兓'呓幉䍉䕟呓䵉呁⡅偅ⱓ䕍乁儬剔剟䱏ⱌ㜫〬착_x0018_＀＀_x0018_＀＀_x0008_＀＀_x0001_＀＀_x0001_＀＀䷓ၢ㥘㿨뤘兓'单幂䍉䕟呓䵉呁⡅偅ⱓ䕍乁儬剔剟䱏ⱌ㘫〬착_x0018_＀＀_x0018_＀＀_x0008_＀＀_x0001_＀＀_x0001_＀＀ﯨ䷒㿪뤘兓)䑔䌭幁䍉䕟呓䵉呁⡅偅ⱓ䕍乁儬剔剟䱏ⱌ㌫〬착_x0018_＀＀_x0018_＀＀_x0008_＀＀_x0001_＀＀_x0001_＀＀ቯ삃ꇊ㿿뤖兓!午䅂䜭幂彐剐䍉⡅ㄴ㈲⸶㐰ㄶ㈲㠶㈵착_x0018_＀＀_x0018_＀＀_x0008_＀＀_x0001_＀＀_x0001_＀＀틲才堐䀘뤘兓(㌸㘰䥞彃卅䥔䅍䕔䔨卐䴬䅅ⱎ呑归佒䱌⬬ⰳ⤰_x0018_＀＀_x0018_＀＀_x0008_＀＀_x0001_＀＀_x0001_＀＀豀碵꼝쐕뤘兓'呓幉䍉䕟呓䵉呁⡅偅ⱓ䕍乁儬剔剟䱏ⱌ㐫〬착_x0018_＀＀_x0018_＀＀_x0008_＀＀_x0001_＀＀_x0001_＀＀슏⣵轜㿦뤘兓'单幂䍉䕟呓䵉呁⡅偅ⱓ䕍乁儬剔剟䱏ⱌ㌫〬착_x0018_＀＀_x0018_＀＀_x0008_＀＀_x0001_＀＀_x0001_＀＀㝌䆉㿨뤙兓%呓幉䍉䕟呓䵉呁⡅偅ⱓ䕍乁䄬乎⬬〲㌱〬착_x0018_＀＀_x0018_＀＀_x0008_＀＀_x0001_＀＀_x0001_＀＀탦_xDB22_绹䀅뤜兓(䙒䥞彃卅䥔䅍䕔丨呅䥟䍎䴬䅅ⱎ乁ⱎ㈫㄰ⰵ⤰_x0018_＀＀_x0018_＀＀_x0008_＀＀_x0001_＀＀_x0001_＀＀尩슏_xDAF5_䂒뤙兓%单幂䍉䕟呓䵉呁⡅偅ⱓ䕍乁䄬乎⬬〲㔱〬착_x0018_＀＀_x0018_＀＀_x0008_＀＀_x0001_＀＀_x0001_＀＀嘄ⴎ鶲䀌뤘兓'呓幉䍉䕟呓䵉呁⡅偅ⱓ䕍乁儬剔剟䱏ⱌㄫ〬착_x0018_＀＀_x0018_＀＀_x0008_＀＀_x0001_＀＀_x0001_＀＀눭욧㿣뤙兓)午䅂䜭幂䍉䕟呓䵉呁⡅偅ⱓ䕍乁䄬乎⬬〲㔱〬착_x0018_＀＀_x0018_＀＀_x0008_＀＀_x0001_＀＀_x0001_＀＀㵱휊炣㿳뤖兓_x0014_呓幉彐佃彍䡓当問⡔⤰_x0018_＀＀_x0018_＀＀_x0008_＀＀_x0001_＀＀_x0001_＀＀扎堐䂀뤛兓+䡆幎䍉䕟呓䵉呁⡅䕎彔义ⱃ䕍乁儬剔剟䱏ⱌ㜫〬착_x0018_＀＀_x0018_＀＀_x0008_＀＀_x0001_＀＀_x0001_＀＀晧晦٦䁍뤛兓,㌸㘰䥞彃卅䥔䅍䕔丨呅䥟䍎䴬䅅ⱎ呑归佒䱌⬬ⰶ⤰_x0018_＀＀_x0018_＀＀_x0008_＀＀_x0001_＀＀_x0001_＀＀豀碵꼝쐕뤖兓_x0019_䙒偞䑟噉当䑐〨ⰬⰬ䐢噉≓착_x0018_＀＀_x0018_＀＀_x0008_＀＀_x0001_＀＀_x0001_＀＀ᑻ䞮竡㾄뤜兓_x001A_午䅂䜭幂䍉䵟䅅彎偅当呌⡇⤰_x0018_＀＀_x0018_＀＀_x0008_＀＀_x0001_＀＀_x0001_＀＀凬Ẹ䀭뤚兓+䡆幎䍉䕟呓䵉呁⡅䕎彔义ⱃ䕍乁儬剔剟䱏ⱌ㐫〬착_x0018_＀＀_x0018_＀＀_x0008_＀＀_x0001_＀＀_x0001_＀＀࠱Წ呚䁊뤚兓,㌸㘰䥞彃卅䥔䅍䕔丨呅䥟䍎䴬䅅ⱎ呑归佒䱌⬬ⰳ⤰_x0018_＀＀_x0018_＀＀_x0008_＀＀_x0001_＀＀_x0001_＀＀豀碵꼝쐕뤙兓%䡆幎䍉䕟呓䵉呁⡅偅ⱓ䕍乁䄬乎⬬〲㐱〬착_x0018_＀＀_x0018_＀＀_x0008_＀＀_x0001_＀＀_x0001_＀＀㕀멞౉㿮뤜兓_x001F_偞䕟䍘彈䅒䕔䜨偂唬䑓㐬ㄱ㈸Ⱜ〬착_x0018_＀＀_x0018_＀＀_x0008_＀＀_x0001_＀＀_x0001_＀＀䫵虙호㿹뤜兓_x0016_䉂幔䍉䵟䅅彎偅当呌⡇⤰_x0018_＀＀_x0018_＀＀_x0008_＀＀_x0001_＀＀_x0001_＀＀탥_xDB22_ﻹ䀤뤜兓)乐幃䍉䕟呓䵉呁⡅䕎彔义ⱃ䕍乁䄬乎⬬〲㌱〬착_x0018_＀＀_x0018_＀＀_x0008_＀＀_x0001_＀＀_x0001_＀＀뀡桲厑䂫뤘兓*䅓ⵎ卅䥞彃卅䥔䅍䕔䔨卐䴬䅅ⱎ呑归佒䱌⬬ⰶ⤰_x0018_＀＀_x0018_＀＀_x0008_＀＀_x0001_＀＀_x0001_＀＀豀碵꼝쐕뤜兓)䡆幎䍉䕟呓䵉呁⡅䕎彔义ⱃ䕍乁䄬乎⬬〲㔱〬착_x0018_＀＀_x0018_＀＀_x0008_＀＀_x0001_＀＀_x0001_＀＀_xDF3C_赏⺗䁬뤚兓+䡆幎䍉䕟呓䵉呁⡅䕎彔义ⱃ䕍乁儬剔剟䱏ⱌㄫ〬착_x0018_＀＀_x0018_＀＀_x0008_＀＀_x0001_＀＀_x0001_＀＀ᢔ嘄紎䁄뤜兓*㌸㘰䥞彃卅䥔䅍䕔丨呅䥟䍎䴬䅅ⱎ乁ⱎ㈫㄰ⰵ⤰_x0018_＀＀_x0018_＀＀_x0008_＀＀_x0001_＀＀_x0001_＀＀＀＀＀＀䄧뤜兓-䑔䌭幁䍉䕟呓䵉呁⡅䕎彔义ⱃ䕍乁儬剔剟䱏ⱌ㠫〬착_x0018_＀＀_x0018_＀＀_x0008_＀＀_x0001_＀＀_x0001_＀＀扎堐碹䂠뤘兓*䅓ⵎ卅䥞彃卅䥔䅍䕔䔨卐䴬䅅ⱎ呑归佒䱌⬬ⰳ⤰_x0018_＀＀_x0018_＀＀_x0008_＀＀_x0001_＀＀_x0001_＀＀⼛ⓝ脆㿅뤛兓-䑔䌭幁䍉䕟呓䵉呁⡅䕎彔义ⱃ䕍乁儬剔剟䱏ⱌ㔫〬착_x0018_＀＀_x0018_＀＀_x0008_＀＀_x0001_＀＀_x0001_＀＀ొ⬂甇䂝뤙兓%乐幃䍉䕟呓䵉呁⡅偅ⱓ䕍乁䄬乎⬬〲㌱〬착_x0018_＀＀_x0018_＀＀_x0008_＀＀_x0001_＀＀_x0001_＀＀蔟凫Ẹ䀚뤙兓$䙒䥞彃卅䥔䅍䕔䔨卐䴬䅅ⱎ乁ⱎ㈫㄰ⰴ⤰_x0018_＀＀_x0018_＀＀_x0008_＀＀_x0001_＀＀_x0001_＀＀鞍ቮ삃㿪뤜兓_x0017_㌸㘰䥞彃䕍乁䕟卐䱟䝔〨착_x0018_＀＀_x0018_＀＀_x0008_＀＀_x0001_＀＀_x0001_＀＀＀＀＀＀＀＀쀠뤖兓_x001D_单幂彐剐䍉⡅ㄴ㈲⸶㐰ㄶ㈲㠶㈵착_x0018_＀＀_x0018_＀＀_x0008_＀＀_x0001_＀＀_x0001_＀＀⣶轜뗂䀿뤚兓-䑔䌭幁䍉䕟呓䵉呁⡅䕎彔义ⱃ䕍乁儬剔剟䱏ⱌ㈫〬착_x0018_＀＀_x0018_＀＀_x0008_＀＀_x0001_＀＀_x0001_＀＀䦻Ȍ⨫䂝뤜兓)䉂幔䍉䕟呓䵉呁⡅䕎彔义ⱃ䕍乁䄬乎⬬〲㌱〬착_x0018_＀＀_x0018_＀＀_x0008_＀＀_x0001_＀＀_x0001_＀＀탥_xDB22_仹䂠뤜兓_x0016_呓幉䍉䵟䅅彎偅当呌⡇⤰_x0018_＀＀_x0018_＀＀_x0008_＀＀_x0001_＀＀_x0001_＀＀＀＀＀＀＀＀䀤뤖兓_x0016_䑔䌭幁彐佃彍䡓当問⡔⤰_x0018_＀＀_x0018_＀＀_x0008_＀＀_x0001_＀＀_x0001_＀＀尩슏틵䂌뤛兓+乐幃䍉䕟呓䵉呁⡅䕎彔义ⱃ䕍乁儬剔剟䱏ⱌ㘫〬착_x0018_＀＀_x0018_＀＀_x0008_＀＀_x0001_＀＀_x0001_＀＀溘茒퇀䂌뤛兓+䉂幔䍉䕟呓䵉呁⡅䕎彔义ⱃ䕍乁儬剔剟䱏ⱌ㘫〬착_x0018_＀＀_x0018_＀＀_x0008_＀＀_x0001_＀＀_x0001_＀＀좴빶䂁뤜兓+䑔䌭幁䍉䕟呓䵉呁⡅䕎彔义ⱃ䕍乁䄬乎⬬〲㔱〬착_x0018_＀＀_x0018_＀＀_x0008_＀＀_x0001_＀＀_x0001_＀＀탥_xDB22_銹䃀뤝兓*偞䕟䍘彈䅒䕔䔨剕唬䑓㐬㈱㘲〮㘴㈱㘲㔸ⰲⰬ⤰_x0018_＀＀_x0018_＀＀_x0008_＀＀_x0001_＀＀_x0001_＀＀℮噬㿴뤖兓_x001A_呓幉彐䥄卖偟⡄ⰰⰬ∬䥄卖⤢_x0018_＀＀_x0018_＀＀_x0008_＀＀_x0001_＀＀_x0001_＀＀馚香香㾩뤙兓'䑔䌭幁䍉䕟呓䵉呁⡅偅ⱓ䕍乁䄬乎⬬〲㔱〬착_x0018_＀＀_x0018_＀＀_x0008_＀＀_x0001_＀＀_x0001_＀＀휊炣਽䀢뤚兓+乐幃䍉䕟呓䵉呁⡅䕎彔义ⱃ䕍乁儬剔剟䱏ⱌ㌫〬착_x0018_＀＀_x0018_＀＀_x0008_＀＀_x0001_＀＀_x0001_＀＀鍵И詖䂋뤖兓_x001C_䑔䌭幁彐䥄卖偟⡄ⰰⰬ∬䥄卖⤢_x0018_＀＀_x0018_＀＀_x0008_＀＀_x0001_＀＀_x0001_＀＀炤਽ꏗ㿨뤚兓+䉂幔䍉䕟呓䵉呁⡅䕎彔义ⱃ䕍乁儬剔剟䱏ⱌ㌫〬착_x0018_＀＀_x0018_＀＀_x0008_＀＀_x0001_＀＀_x0001_＀＀_xDB23_绹ꁪ䂀뤜兓_x0018_䑔䌭幁䍉䵟䅅彎偅当呌⡇⤰_x0018_＀＀_x0018_＀＀_x0008_＀＀_x0001_＀＀_x0001_＀＀＀＀＀＀＀＀䀞뤜兓_x001F_偞䕟䍘彈䅒䕔唨䑓唬䑓㐬ㄱ㈸Ⱜ〬착_x0018_＀＀_x0018_＀＀_x0008_＀＀_x0001_＀＀_x0001_＀＀＀＀＀＀＀＀㿰뤘兓&amp;䙒䥞彃卅䥔䅍䕔䔨卐䴬䅅ⱎ呑归佒䱌⬬ⰶ⤰_x0018_＀＀_x0018_＀＀_x0008_＀＀_x0001_＀＀_x0001_＀＀䆉⋐㿋뤝兓*偞䕟䍘彈䅒䕔䜨偂唬䑓㐬㈱㘲〮㘴㈱㘲㔸ⰲⰬ⤰_x0018_＀＀_x0018_＀＀_x0008_＀＀_x0001_＀＀_x0001_＀＀⵸ἡ泴㿹뤜兓_x0016_乐幃䍉䵟䅅彎偅当呌⡇⤰_x0018_＀＀_x0018_＀＀_x0008_＀＀_x0001_＀＀_x0001_＀＀ꏗ㵰휊䀚뤛兓+单幂䍉䕟呓䵉呁⡅䕎彔义ⱃ䕍乁儬剔剟䱏ⱌ㘫〬착_x0018_＀＀_x0018_＀＀_x0008_＀＀_x0001_＀＀_x0001_＀＀ꧻ໱䂗뤝兓*偞䕟䍘彈䅒䕔䌨䑁唬䑓㐬㈱㘲〮㘴㈱㘲㔸ⰲⰬ⤰_x0018_＀＀_x0018_＀＀_x0008_＀＀_x0001_＀＀_x0001_＀＀霗뒪㿯뤘兓&amp;䙒䥞彃卅䥔䅍䕔䔨卐䴬䅅ⱎ呑归佒䱌⬬ⰳ⤰_x0018_＀＀_x0018_＀＀_x0008_＀＀_x0001_＀＀_x0001_＀＀탦_xDB22_绹㿊뤙兓'䡆幎䍉䕟呓䵉呁⡅偅ⱓ䕍乁儬剔剟䱏ⱌ㠫〬착_x0018_＀＀_x0018_＀＀_x0008_＀＀_x0001_＀＀_x0001_＀＀炤਽ꏗ㿐뤚兓+单幂䍉䕟呓䵉呁⡅䕎彔义ⱃ䕍乁儬剔剟䱏ⱌ㌫〬착_x0018_＀＀_x0018_＀＀_x0008_＀＀_x0001_＀＀_x0001_＀＀ㄦ榈䂖뤖兓_x001A_乐幃彐䥄卖偟⡄ⰰⰬ∬䥄卖⤢_x0018_＀＀_x0018_＀＀_x0008_＀＀_x0001_＀＀_x0001_＀＀馚香香㿙뤛兓＀Ｏ午䅂䜭幂䍉䕟呓䵉呁⡅䕎彔义ⱃ䕍乁儬剔剟䱏ⱌ㜫〬착_x0018_＀＀_x0018_＀＀_x0008_＀＀_x0001_＀＀_x0001_＀＀豀碵꼝쐕뤗兓2䅓ⵎ卅剞䙇䍟䵏卟午佟呕䕟卐䑟䱉䴨乏〬ⰬⰬⰬ低啁䥄⥔_x0018_＀＀_x0018_＀＀_x0008_＀＀_x0001_＀＀_x0001_＀＀踢煵镗䃄뤜兓-午䅂䜭幂䍉䕟呓䵉呁⡅䕎彔义ⱃ䕍乁䄬乎⬬〲㌱〬착_x0018_＀＀_x0018_＀＀_x0008_＀＀_x0001_＀＀_x0001_＀＀㵱휊˓䃒뤙兓%䉂幔䍉䕟呓䵉呁⡅偅ⱓ䕍乁䄬乎⬬〲㐱〬착_x0018_＀＀_x0018_＀＀_x0008_＀＀_x0001_＀＀_x0001_＀＀䷒ၢ䀉뤘兓'䡆幎䍉䕟呓䵉呁⡅偅ⱓ䕍乁儬剔剟䱏ⱌ㔫〬착_x0018_＀＀_x0018_＀＀_x0008_＀＀_x0001_＀＀_x0001_＀＀㽼帵㿊뤛兓*䙒䥞彃卅䥔䅍䕔丨呅䥟䍎䴬䅅ⱎ呑归佒䱌⬬ⰸ⤰_x0018_＀＀_x0018_＀＀_x0008_＀＀_x0001_＀＀_x0001_＀＀ొ⬂窇䁲뤜兓,䅓ⵎ卅䥞彃卅䥔䅍䕔丨呅䥟䍎䴬䅅ⱎ乁ⱎ㈫㄰ⰵ⤰_x0018_＀＀_x0018_＀＀_x0008_＀＀_x0001_＀＀_x0001_＀＀틲才ॠ䃁뤚兓＀Ｏ午䅂䜭幂䍉䕟呓䵉呁⡅䕎彔义ⱃ䕍乁儬剔剟䱏ⱌ㐫〬착_x0018_＀＀_x0018_＀＀_x0008_＀＀_x0001_＀＀_x0001_＀＀豀碵꼝쐕뤖兓_x0018_午䅂䜭幂彐佃彍䡓当問⡔⤰_x0018_＀＀_x0018_＀＀_x0008_＀＀_x0001_＀＀_x0001_＀＀＀＀＀＀ഠ䃒뤘兓'䡆幎䍉䕟呓䵉呁⡅偅ⱓ䕍乁儬剔剟䱏ⱌ㈫〬착_x0018_＀＀_x0018_＀＀_x0008_＀＀_x0001_＀＀_x0001_＀＀틲才堐㿉뤛兓*䙒䥞彃卅䥔䅍䕔丨呅䥟䍎䴬䅅ⱎ呑归佒䱌⬬ⰵ⤰_x0018_＀＀_x0018_＀＀_x0008_＀＀_x0001_＀＀_x0001_＀＀ᑻ䞮훡䁰뤘兓'䉂幔䍉䕟呓䵉呁⡅偅ⱓ䕍乁儬剔剟䱏ⱌ㘫〬착_x0018_＀＀_x0018_＀＀_x0008_＀＀_x0001_＀＀_x0001_＀＀娝㭤俟㿩뤖兓_x0015_㌸㘰偞䍟䵏卟午佟呕〨착_x0018_＀＀_x0018_＀＀_x0008_＀＀_x0001_＀＀_x0001_＀＀䦻Ȍꝋ䃋뤚兓＀Ｏ午䅂䜭幂䍉䕟呓䵉呁⡅䕎彔义ⱃ䕍乁儬剔剟䱏ⱌㄫ〬착_x0018_＀＀_x0018_＀＀_x0008_＀＀_x0001_＀＀_x0001_＀＀豀碵꼝쐕뤚兓*䙒䥞彃卅䥔䅍䕔丨呅䥟䍎䴬䅅ⱎ呑归佒䱌⬬ⰲ⤰_x0018_＀＀_x0018_＀＀_x0008_＀＀_x0001_＀＀_x0001_＀＀沋ﯧީ䁲뤘兓+午䅂䜭幂䍉䕟呓䵉呁⡅偅ⱓ䕍乁儬剔剟䱏ⱌ㘫〬착_x0018_＀＀_x0018_＀＀_x0008_＀＀_x0001_＀＀_x0001_＀＀豀碵꼝쐕뤘兓'䉂幔䍉䕟呓䵉呁⡅偅ⱓ䕍乁儬剔剟䱏ⱌ㌫〬착_x0018_＀＀_x0018_＀＀_x0008_＀＀_x0001_＀＀_x0001_＀＀컙号ꗣ㿧뤛兓+呓幉䍉䕟呓䵉呁⡅䕎彔义ⱃ䕍乁儬剔剟䱏ⱌ㜫〬착_x0018_＀＀_x0018_＀＀_x0008_＀＀_x0001_＀＀_x0001_＀＀눭겧䁹뤛兓.䅓ⵎ卅䥞彃卅䥔䅍䕔丨呅䥟䍎䴬䅅ⱎ呑归佒䱌⬬ⰶ⤰_x0018_＀＀_x0018_＀＀_x0008_＀＀_x0001_＀＀_x0001_＀＀豀碵꼝쐕뤜兓)呓幉䍉䕟呓䵉呁⡅䕎彔义ⱃ䕍乁䄬乎⬬〲㐱〬착_x0018_＀＀_x0018_＀＀_x0008_＀＀_x0001_＀＀_x0001_＀＀눭䮧䂘뤘兓+午䅂䜭幂䍉䕟呓䵉呁⡅偅ⱓ䕍乁儬剔剟䱏ⱌ㌫〬착_x0018_＀＀_x0018_＀＀_x0008_＀＀_x0001_＀＀_x0001_＀＀豀碵꼝쐕뤘兓'乐幃䍉䕟呓䵉呁⡅偅ⱓ䕍乁儬剔剟䱏ⱌ㘫〬착_x0018_＀＀_x0018_＀＀_x0008_＀＀_x0001_＀＀_x0001_＀＀쒜뀠桲㿻뤖兓_x0014_䡆幎彐佃彍䡓当問⡔⤰_x0018_＀＀_x0018_＀＀_x0008_＀＀_x0001_＀＀_x0001_＀＀삃ꇊ㩅䁮뤜兓)单幂䍉䕟呓䵉呁⡅䕎彔义ⱃ䕍乁䄬乎⬬〲㐱〬착_x0018_＀＀_x0018_＀＀_x0008_＀＀_x0001_＀＀_x0001_＀＀鶲꟯ᮆ䂷뤚兓+呓幉䍉䕟呓䵉呁⡅䕎彔义ⱃ䕍乁儬剔剟䱏ⱌ㐫〬착_x0018_＀＀_x0018_＀＀_x0008_＀＀_x0001_＀＀_x0001_＀＀삃ꇊ홅䁷뤚兓.䅓ⵎ卅䥞彃卅䥔䅍䕔丨呅䥟䍎䴬䅅ⱎ呑归佒䱌⬬ⰳ⤰_x0018_＀＀_x0018_＀＀_x0008_＀＀_x0001_＀＀_x0001_＀＀鞍ቮﰃ䂕뤙兓&amp;㌸㘰䥞彃卅䥔䅍䕔䔨卐䴬䅅ⱎ乁ⱎ㈫㄰ⰵ⤰_x0018_＀＀_x0018_＀＀_x0008_＀＀_x0001_＀＀_x0001_＀＀＀＀＀＀䀀䁌뤖兓_x0017_䑔䌭幁彐啃剒久奃∨卉≏착_x0014_＀＀_x0018_＀＀_x0004_＀＀_x0001_＀＀_x0008_＀＀䅃D뤘兓'乐幃䍉䕟呓䵉呁⡅偅ⱓ䕍乁儬剔剟䱏ⱌ㌫〬착_x0018_＀＀_x0018_＀＀_x0008_＀＀_x0001_＀＀_x0001_＀＀욨㝋䆉㿺뤖兓_x001C_䙒偞偟䥒䕃㐨㈱㘲〮㘴㈱㘲㔸⤲_x0018_＀＀_x0018_＀＀_x0008_＀＀_x0001_＀＀_x0001_＀＀쳍쳌쳌䀙뤙兓(䅓ⵎ卅䥞彃卅䥔䅍䕔䔨卐䴬䅅ⱎ乁ⱎ㈫㄰ⰵ⤰_x0018_＀＀_x0018_＀＀_x0008_＀＀_x0001_＀＀_x0001_＀＀휊炣਽㿧뤚兓+呓幉䍉䕟呓䵉呁⡅䕎彔义ⱃ䕍乁儬剔剟䱏ⱌㄫ〬착_x0018_＀＀_x0018_＀＀_x0008_＀＀_x0001_＀＀_x0001_＀＀꟰䯆_xDF37_䁴뤙兓)䑔䌭幁䍉䕟呓䵉呁⡅偅ⱓ䕍乁儬剔剟䱏ⱌ㜫〬착_x0018_＀＀_x0018_＀＀_x0008_＀＀_x0001_＀＀_x0001_＀＀䖢퓽䀀뤘兓(㌸㘰䥞彃卅䥔䅍䕔䔨卐䴬䅅ⱎ呑归佒䱌⬬ⰷ⤰_x0018_＀＀_x0018_＀＀_x0008_＀＀_x0001_＀＀_x0001_＀＀豀碵꼝쐕뤙兓'呓幉䍉䕟呓䵉呁⡅偅ⱓ䕍乁儬剔剟䱏ⱌ㠫〬착_x0018_＀＀_x0018_＀＀_x0008_＀＀_x0001_＀＀_x0001_＀＀蔟凫Ẹ㿩뤘兓'单幂䍉䕟呓䵉呁⡅偅ⱓ䕍乁儬剔剟䱏ⱌ㜫〬착_x0018_＀＀_x0018_＀＀_x0008_＀＀_x0001_＀＀_x0001_＀＀俟鞍ቮ㿫뤘兓)䑔䌭幁䍉䕟呓䵉呁⡅偅ⱓ䕍乁儬剔剟䱏ⱌ㐫〬착_x0018_＀＀_x0018_＀＀_x0008_＀＀_x0001_＀＀_x0001_＀＀Й๖눭䀀뤘兓(㌸㘰䥞彃卅䥔䅍䕔䔨卐䴬䅅ⱎ呑归佒䱌⬬ⰴ⤰_x0018_＀＀_x0018_＀＀_x0008_＀＀_x0001_＀＀_x0001_＀＀豀碵꼝쐕뤘兓'呓幉䍉䕟呓䵉呁⡅偅ⱓ䕍乁儬剔剟䱏ⱌ㔫〬착_x0018_＀＀_x0018_＀＀_x0008_＀＀_x0001_＀＀_x0001_＀＀ﷴ磔⛩㿥뤘兓'单幂䍉䕟呓䵉呁⡅偅ⱓ䕍乁儬剔剟䱏ⱌ㐫〬착_x0018_＀＀_x0018_＀＀_x0008_＀＀_x0001_＀＀_x0001_＀＀蔟凫Ẹ㿩뤙兓%呓幉䍉䕟呓䵉呁⡅偅ⱓ䕍乁䄬乎⬬〲㐱〬착_x0018_＀＀_x0018_＀＀_x0008_＀＀_x0001_＀＀_x0001_＀＀率橾璼䀇뤘兓)䑔䌭幁䍉䕟呓䵉呁⡅偅ⱓ䕍乁儬剔剟䱏ⱌㄫ〬착_x0018_＀＀_x0018_＀＀_x0008_＀＀_x0001_＀＀_x0001_＀＀堑됹盈㿾뤘兓(㌸㘰䥞彃卅䥔䅍䕔䔨卐䴬䅅ⱎ呑归佒䱌⬬ⰱ⤰_x0018_＀＀_x0018_＀＀_x0008_＀＀_x0001_＀＀_x0001_＀＀蔟凫庸䀬뤘兓'呓幉䍉䕟呓䵉呁⡅偅ⱓ䕍乁儬剔剟䱏ⱌ㈫〬착_x0018_＀＀_x0018_＀＀_x0008_＀＀_x0001_＀＀_x0001_＀＀꟰䯆褷㿥뤘兓'单幂䍉䕟呓䵉呁⡅偅ⱓ䕍乁儬剔剟䱏ⱌㄫ〬착_x0018_＀＀_x0018_＀＀_x0008_＀＀_x0001_＀＀_x0001_＀＀롑蔞㿧뤖兓_x0015_单幂彐啃剒久奃∨卉≏착_x0014_＀＀_x0018_＀＀_x0004_＀＀_x0001_＀＀_x0008_＀＀单D뤜兓(䙒䥞彃卅䥔䅍䕔丨呅䥟䍎䴬䅅ⱎ乁ⱎ㈫㄰ⰳ⤰_x0018_＀＀_x0018_＀＀_x0008_＀＀_x0001_＀＀_x0001_＀＀ꇋ뙅_xFFFF_ｳ䂑뤙兓%单幂䍉䕟呓䵉呁⡅偅ⱓ䕍乁䄬乎⬬〲㌱〬착_x0018_＀＀_x0018_＀＀_x0008_＀＀_x0001_＀＀_x0001_＀＀إ閁譃䀈뤖兓_x0014_乐幃彐佃彍䡓当問⡔⤰_x0018_＀＀_x0018_＀＀_x0008_＀＀_x0001_＀＀_x0001_＀＀긕荺䂀뤛兓+䡆幎䍉䕟呓䵉呁⡅䕎彔义ⱃ䕍乁儬剔剟䱏ⱌ㠫〬착_x0018_＀＀_x0018_＀＀_x0008_＀＀_x0001_＀＀_x0001_＀＀㌳㌳䌳䁎뤛兓,㌸㘰䥞彃卅䥔䅍䕔丨呅䥟䍎䴬䅅ⱎ呑归佒䱌⬬ⰷ⤰_x0018_＀＀_x0018_＀＀_x0008_＀＀_x0001_＀＀_x0001_＀＀豀碵꼝쐕뤙兓)午䅂䜭幂䍉䕟呓䵉呁⡅偅ⱓ䕍乁䄬乎⬬〲㌱〬착_x0018_＀＀_x0018_＀＀_x0008_＀＀_x0001_＀＀_x0001_＀＀㌳㌳㌳㿯뤛兓+䡆幎䍉䕟呓䵉呁⡅䕎彔义ⱃ䕍乁儬剔剟䱏ⱌ㔫〬착_x0018_＀＀_x0018_＀＀_x0008_＀＀_x0001_＀＀_x0001_＀＀㌳㌳茳䁈뤛兓,㌸㘰䥞彃卅䥔䅍䕔丨呅䥟䍎䴬䅅ⱎ呑归佒䱌⬬ⰴ⤰_x0018_＀＀_x0018_＀＀_x0008_＀＀_x0001_＀＀_x0001_＀＀豀碵꼝쐕뤙兓%䡆幎䍉䕟呓䵉呁⡅偅ⱓ䕍乁䄬乎⬬〲㔱〬착_x0018_＀＀_x0018_＀＀_x0008_＀＀_x0001_＀＀_x0001_＀＀橿璼ᢓ㿰뤝兓*偞䕟䍘彈䅒䕔唨䑓唬䑓㐬㈱㘲〮㘴㈱㘲㔸ⰲⰬ⤰_x0018_＀＀_x0018_＀＀_x0008_＀＀_x0001_＀＀_x0001_＀＀＀＀＀＀＀＀㿰뤜兓)乐幃䍉䕟呓䵉呁⡅䕎彔义ⱃ䕍乁䄬乎⬬〲㐱〬착_x0018_＀＀_x0018_＀＀_x0008_＀＀_x0001_＀＀_x0001_＀＀糮㔿䜞䂬뤙兓*䅓ⵎ卅䥞彃卅䥔䅍䕔䔨卐䴬䅅ⱎ呑归佒䱌⬬ⰷ⤰_x0018_＀＀_x0018_＀＀_x0008_＀＀_x0001_＀＀_x0001_＀＀豀碵꼝쐕뤚兓+䡆幎䍉䕟呓䵉呁⡅䕎彔义ⱃ䕍乁儬剔剟䱏ⱌ㈫〬착_x0018_＀＀_x0018_＀＀_x0008_＀＀_x0001_＀＀_x0001_＀＀ᑻ䞮⫡䁇뤚兓,㌸㘰䥞彃卅䥔䅍䕔丨呅䥟䍎䴬䅅ⱎ呑归佒䱌⬬ⰱ⤰_x0018_＀＀_x0018_＀＀_x0008_＀＀_x0001_＀＀_x0001_＀＀＀＀＀＀뷠䄆뤜兓_x0016_单幂䍉䵟䅅彎偅当呌⡇⤰_x0018_＀＀_x0018_＀＀_x0008_＀＀_x0001_＀＀_x0001_＀＀꟰䯆䤷䀥뤘兓*䅓ⵎ卅䥞彃卅䥔䅍䕔䔨卐䴬䅅ⱎ呑归佒䱌⬬ⰴ⤰_x0018_＀＀_x0018_＀＀_x0008_＀＀_x0001_＀＀_x0001_＀＀쒜뀠桲㿁뤜兓)䡆幎䍉䕟呓䵉呁⡅䕎彔义ⱃ䕍乁䄬乎⬬〲㌱〬착_x0018_＀＀_x0018_＀＀_x0008_＀＀_x0001_＀＀_x0001_＀＀㽽帵䁧뤖兓_x0014_䉂幔彐佃彍䡓当問⡔⤰_x0018_＀＀_x0018_＀＀_x0008_＀＀_x0001_＀＀_x0001_＀＀Й๖_xDF2D_䂅뤜兓*㌸㘰䥞彃卅䥔䅍䕔丨呅䥟䍎䴬䅅ⱎ乁ⱎ㈫㄰ⰳ⤰_x0018_＀＀_x0018_＀＀_x0008_＀＀_x0001_＀＀_x0001_＀＀＀＀＀＀툠䄥뤛兓-䑔䌭幁䍉䕟呓䵉呁⡅䕎彔义ⱃ䕍乁儬剔剟䱏ⱌ㘫〬착_x0018_＀＀_x0018_＀＀_x0008_＀＀_x0001_＀＀_x0001_＀＀ẹ훑䂟뤙兓%乐幃䍉䕟呓䵉呁⡅偅ⱓ䕍乁䄬乎⬬〲㐱〬착_x0018_＀＀_x0018_＀＀_x0008_＀＀_x0001_＀＀_x0001_＀＀⬂ᚇ仙䀛뤙兓$䙒䥞彃卅䥔䅍䕔䔨卐䴬䅅ⱎ乁ⱎ㈫㄰ⰵ⤰_x0018_＀＀_x0018_＀＀_x0008_＀＀_x0001_＀＀_x0001_＀＀ꧼ틱才㿬뤘兓*䅓ⵎ卅䥞彃卅䥔䅍䕔䔨卐䴬䅅ⱎ呑归佒䱌⬬ⰱ⤰_x0018_＀＀_x0018_＀＀_x0008_＀＀_x0001_＀＀_x0001_＀＀빷᪟_xDD2F_㿄뤖兓_x0015_呓幉彐啃剒久奃∨卉≏착_x0014_＀＀_x0018_＀＀_x0004_＀＀_x0001_＀＀_x0008_＀＀单D뤖兓_x001D_䉂幔彐剐䍉⡅ㄴ㈲⸶㐰ㄶ㈲㠶㈵착_x0018_＀＀_x0018_＀＀_x0008_＀＀_x0001_＀＀_x0001_＀＀㌳㌳猳䀻뤖兓_x0015_䡆幎彐啃剒久奃∨卉≏착_x0014_＀＀_x0018_＀＀_x0004_＀＀_x0001_＀＀_x0008_＀＀单D뤖兓_x0013_䙒偞䍟䵏卟午佟呕〨착_x0018_＀＀_x0018_＀＀_x0008_＀＀_x0001_＀＀_x0001_＀＀赐溗ᖒ䂖뤚兓-䑔䌭幁䍉䕟呓䵉呁⡅䕎彔义ⱃ䕍乁儬剔剟䱏ⱌ㌫〬착_x0018_＀＀_x0018_＀＀_x0008_＀＀_x0001_＀＀_x0001_＀＀蔟凫릸䂜뤜兓)䉂幔䍉䕟呓䵉呁⡅䕎彔义ⱃ䕍乁䄬乎⬬〲㐱〬착_x0018_＀＀_x0018_＀＀_x0008_＀＀_x0001_＀＀_x0001_＀＀슏⣵韜䂡뤛兓+乐幃䍉䕟呓䵉呁⡅䕎彔义ⱃ䕍乁儬剔剟䱏ⱌ㜫〬착_x0018_＀＀_x0018_＀＀_x0008_＀＀_x0001_＀＀_x0001_＀＀๖눭좝䂌뤛兓+䉂幔䍉䕟呓䵉呁⡅䕎彔义ⱃ䕍乁儬剔剟䱏ⱌ㜫〬착_x0018_＀＀_x0018_＀＀_x0008_＀＀_x0001_＀＀_x0001_＀＀＀＀＀＀蠀䂂뤜兓_x0015_䙒䥞彃䕍乁䕟卐䱟䝔〨착_x0018_＀＀_x0018_＀＀_x0008_＀＀_x0001_＀＀_x0001_＀＀㌳㌳㌳䀚뤚兓+乐幃䍉䕟呓䵉呁⡅䕎彔义ⱃ䕍乁儬剔剟䱏ⱌ㐫〬착_x0018_＀＀_x0018_＀＀_x0008_＀＀_x0001_＀＀_x0001_＀＀눭盛䂋뤚兓+䉂幔䍉䕟呓䵉呁⡅䕎彔义ⱃ䕍乁儬剔剟䱏ⱌ㐫〬착_x0018_＀＀_x0018_＀＀_x0008_＀＀_x0001_＀＀_x0001_＀＀_xDB23_绹㩪䂁뤖兓_x001B_㌸㘰偞䑟噉当䑐〨ⰬⰬ䐢噉≓착_x0018_＀＀_x0018_＀＀_x0008_＀＀_x0001_＀＀_x0001_＀＀＀＀＀＀＀＀䀘뤜兓+䑔䌭幁䍉䕟呓䵉呁⡅䕎彔义ⱃ䕍乁䄬乎⬬〲㌱〬착_x0018_＀＀_x0018_＀＀_x0008_＀＀_x0001_＀＀_x0001_＀＀슐⣵⛼䂼뤗兓＀Ｏ䡆幎䝒彆佃彍䡓当問彔偅当䥄⡌位ⱎⰰⰬⰬ丬䅏䑕呉착_x0018_＀＀_x0018_＀＀_x0008_＀＀_x0001_＀＀_x0001_＀＀䦺Ȍଫ䁯뤘兓&amp;䙒䥞彃卅䥔䅍䕔䔨卐䴬䅅ⱎ呑归佒䱌⬬ⰷ⤰_x0018_＀＀_x0018_＀＀_x0008_＀＀_x0001_＀＀_x0001_＀＀尩슏⣵㿌뤙兓'䑔䌭幁䍉䕟呓䵉呁⡅偅ⱓ䕍乁䄬乎⬬〲㌱〬착_x0018_＀＀_x0018_＀＀_x0008_＀＀_x0001_＀＀_x0001_＀＀凬Ẹ殅䀟뤗兓0㌸㘰剞䙇䍟䵏卟午佟呕䕟卐䑟䱉䴨乏〬ⰬⰬⰬ低啁䥄⥔_x0018_＀＀_x0018_＀＀_x0008_＀＀_x0001_＀＀_x0001_＀＀蔟凫굸䃋뤚兓+乐幃䍉䕟呓䵉呁⡅䕎彔义ⱃ䕍乁儬剔剟䱏ⱌㄫ〬착_x0018_＀＀_x0018_＀＀_x0008_＀＀_x0001_＀＀_x0001_＀＀긕湺䂊뤚兓+䉂幔䍉䕟呓䵉呁⡅䕎彔义ⱃ䕍乁儬剔剟䱏ⱌㄫ〬착_x0018_＀＀_x0018_＀＀_x0008_＀＀_x0001_＀＀_x0001_＀＀脆䎕䁼뤛兓+单幂䍉䕟呓䵉呁⡅䕎彔义ⱃ䕍乁儬剔剟䱏ⱌ㜫〬착_x0018_＀＀_x0018_＀＀_x0008_＀＀_x0001_＀＀_x0001_＀＀娝㭤鯟䂗뤖兓_x001D_呓幉彐剐䍉⡅ㄴ㈲⸶㐰ㄶ㈲㠶㈵착_x0018_＀＀_x0018_＀＀_x0008_＀＀_x0001_＀＀_x0001_＀＀凬Ẹ⮅䀺뤖兓_x001D_䡆幎彐剐䍉⡅ㄴ㈲⸶㐰ㄶ㈲㠶㈵착_x0018_＀＀_x0018_＀＀_x0008_＀＀_x0001_＀＀_x0001_＀＀롒蔞凫䀢뤘兓&amp;䙒䥞彃卅䥔䅍䕔䔨卐䴬䅅ⱎ呑归佒䱌⬬ⰴ⤰_x0018_＀＀_x0018_＀＀_x0008_＀＀_x0001_＀＀_x0001_＀＀竡긔㿊뤖兓_x001E_午䅂䜭幂彐䥄卖偟⡄ⰰⰬ∬䥄卖⤢_x0018_＀＀_x0018_＀＀_x0008_＀＀_x0001_＀＀_x0001_＀＀댑獵㾾뤚兓+单幂䍉䕟呓䵉呁⡅䕎彔义ⱃ䕍乁儬剔剟䱏ⱌ㐫〬착_x0018_＀＀_x0018_＀＀_x0008_＀＀_x0001_＀＀_x0001_＀＀竡긔毇䂖뤛兓＀Ｏ午䅂䜭幂䍉䕟呓䵉呁⡅䕎彔义ⱃ䕍乁儬剔剟䱏ⱌ㠫〬착_x0018_＀＀_x0018_＀＀_x0008_＀＀_x0001_＀＀_x0001_＀＀豀碵꼝쐕뤘兓&amp;䙒䥞彃卅䥔䅍䕔䔨卐䴬䅅ⱎ呑归佒䱌⬬ⰱ⤰_x0018_＀＀_x0018_＀＀_x0008_＀＀_x0001_＀＀_x0001_＀＀⣶轜㿈뤜兓-午䅂䜭幂䍉䕟呓䵉呁⡅䕎彔义ⱃ䕍乁䄬乎⬬〲㐱〬착_x0018_＀＀_x0018_＀＀_x0008_＀＀_x0001_＀＀_x0001_＀＀슏⣵戼䃔뤙兓%䉂幔䍉䕟呓䵉呁⡅偅ⱓ䕍乁䄬乎⬬〲㔱〬착_x0018_＀＀_x0018_＀＀_x0008_＀＀_x0001_＀＀_x0001_＀＀司ꗣ쒛䀊뤘兓'䡆幎䍉䕟呓䵉呁⡅偅ⱓ䕍乁儬剔剟䱏ⱌ㘫〬착_x0018_＀＀_x0018_＀＀_x0008_＀＀_x0001_＀＀_x0001_＀＀ꧻ틱㿍뤝兓_x001F_偞䕟䍘彈䅒䕔䨨奐唬䑓㐬ㄱ㈸Ⱜ〬착_x0018_＀＀_x0018_＀＀_x0008_＀＀_x0001_＀＀_x0001_＀＀⣭詒勫㾊뤖兓_x0015_乐幃彐啃剒久奃∨卉≏착_x0014_＀＀_x0018_＀＀_x0004_＀＀_x0001_＀＀_x0008_＀＀单D뤚兓+单幂䍉䕟呓䵉呁⡅䕎彔义ⱃ䕍乁儬剔剟䱏ⱌㄫ〬착_x0018_＀＀_x0018_＀＀_x0008_＀＀_x0001_＀＀_x0001_＀＀ꇋ뙅豳䂕뤖兓_x001A_䉂幔彐䥄卖偟⡄ⰰⰬ∬䥄卖⤢_x0018_＀＀_x0018_＀＀_x0008_＀＀_x0001_＀＀_x0001_＀＀㵱휊炣㿍뤛兓＀Ｏ午䅂䜭幂䍉䕟呓䵉呁⡅䕎彔义ⱃ䕍乁儬剔剟䱏ⱌ㔫〬착_x0018_＀＀_x0018_＀＀_x0008_＀＀_x0001_＀＀_x0001_＀＀豀碵꼝쐕뤘兓'䡆幎䍉䕟呓䵉呁⡅偅ⱓ䕍乁儬剔剟䱏ⱌ㌫〬착_x0018_＀＀_x0018_＀＀_x0008_＀＀_x0001_＀＀_x0001_＀＀컙号ꗣ㿋뤗兓＀Ｏ乐幃䝒彆佃彍䡓当問彔偅当䥄⡌位ⱎⰰⰬⰬ丬䅏䑕呉착_x0018_＀＀_x0018_＀＀_x0008_＀＀_x0001_＀＀_x0001_＀＀＀＀＀＀蠀䂀뤛兓*䙒䥞彃卅䥔䅍䕔丨呅䥟䍎䴬䅅ⱎ呑归佒䱌⬬ⰶ⤰_x0018_＀＀_x0018_＀＀_x0008_＀＀_x0001_＀＀_x0001_＀＀㕀멞쁉䁱뤘兓'䉂幔䍉䕟呓䵉呁⡅偅ⱓ䕍乁儬剔剟䱏ⱌ㜫〬착_x0018_＀＀_x0018_＀＀_x0008_＀＀_x0001_＀＀_x0001_＀＀_xD917_㿩뤜兓,䅓ⵎ卅䥞彃卅䥔䅍䕔丨呅䥟䍎䴬䅅ⱎ乁ⱎ㈫㄰ⰳ⤰_x0018_＀＀_x0018_＀＀_x0008_＀＀_x0001_＀＀_x0001_＀＀_xD917_毓䂸뤚兓＀Ｏ午䅂䜭幂䍉䕟呓䵉呁⡅䕎彔义ⱃ䕍乁儬剔剟䱏ⱌ㈫〬착_x0018_＀＀_x0018_＀＀_x0008_＀＀_x0001_＀＀_x0001_＀＀豀碵꼝쐕뤚兓*䙒䥞彃卅䥔䅍䕔丨呅䥟䍎䴬䅅ⱎ呑归佒䱌⬬ⰳ⤰_x0018_＀＀_x0018_＀＀_x0008_＀＀_x0001_＀＀_x0001_＀＀䷒Ṣ䁲뤘兓+午䅂䜭幂䍉䕟呓䵉呁⡅偅ⱓ䕍乁儬剔剟䱏ⱌ㜫〬착_x0018_＀＀_x0018_＀＀_x0008_＀＀_x0001_＀＀_x0001_＀＀豀碵꼝쐕뤖兓_x001E_㌸㘰偞偟䥒䕃㐨㈱㘲〮㘴㈱㘲㔸⤲_x0018_＀＀_x0018_＀＀_x0008_＀＀_x0001_＀＀_x0001_＀＀＀＀＀＀䁵뤖兓_x001F_䑔䌭幁彐剐䍉⡅ㄴ㈲⸶㐰ㄶ㈲㠶㈵착_x0018_＀＀_x0018_＀＀_x0008_＀＀_x0001_＀＀_x0001_＀＀ꏗ㵰ᜊ䁔뤘兓'䉂幔䍉䕟呓䵉呁⡅偅ⱓ䕍乁儬剔剟䱏ⱌ㐫〬착_x0018_＀＀_x0018_＀＀_x0008_＀＀_x0001_＀＀_x0001_＀＀ᑻ䞮竡㿨뤛兓+呓幉䍉䕟呓䵉呁⡅䕎彔义ⱃ䕍乁儬剔剟䱏ⱌ㠫〬착_x0018_＀＀_x0018_＀＀_x0008_＀＀_x0001_＀＀_x0001_＀＀⃅犰퍨䁺뤛兓.䅓ⵎ卅䥞彃卅䥔䅍䕔丨呅䥟䍎䴬䅅ⱎ呑归佒䱌⬬ⰷ⤰_x0018_＀＀_x0018_＀＀_x0008_＀＀_x0001_＀＀_x0001_＀＀豀碵꼝쐕뤜兓)呓幉䍉䕟呓䵉呁⡅䕎彔义ⱃ䕍乁䄬乎⬬〲㔱〬착_x0018_＀＀_x0018_＀＀_x0008_＀＀_x0001_＀＀_x0001_＀＀Ẹࡑ䂚뤘兓+午䅂䜭幂䍉䕟呓䵉呁⡅偅ⱓ䕍乁儬剔剟䱏ⱌ㐫〬착_x0018_＀＀_x0018_＀＀_x0008_＀＀_x0001_＀＀_x0001_＀＀豀碵꼝쐕뤘兓'䉂幔䍉䕟呓䵉呁⡅偅ⱓ䕍乁儬剔剟䱏ⱌㄫ〬착_x0018_＀＀_x0018_＀＀_x0008_＀＀_x0001_＀＀_x0001_＀＀쒜뀠桲㿥뤘兓'乐幃䍉䕟呓䵉呁⡅偅ⱓ䕍乁儬剔剟䱏ⱌ㜫〬착_x0018_＀＀_x0018_＀＀_x0008_＀＀_x0001_＀＀_x0001_＀＀譄ꧻ㿻뤖兓_x001D_䅓ⵎ卅偞䑟噉当䑐〨ⰬⰬ䐢噉≓착_x0018_＀＀_x0018_＀＀_x0008_＀＀_x0001_＀＀_x0001_＀＀垓ᣧ붐㾾뤜兓)单幂䍉䕟呓䵉呁⡅䕎彔义ⱃ䕍乁䄬乎⬬〲㔱〬착_x0018_＀＀_x0018_＀＀_x0008_＀＀_x0001_＀＀_x0001_＀＀绺뱪_xFFFF_￴䂷뤛兓+呓幉䍉䕟呓䵉呁⡅䕎彔义ⱃ䕍乁儬剔剟䱏ⱌ㔫〬착_x0018_＀＀_x0018_＀＀_x0008_＀＀_x0001_＀＀_x0001_＀＀탦_xDB22_勹䁶뤛兓.䅓ⵎ卅䥞彃卅䥔䅍䕔丨呅䥟䍎䴬䅅ⱎ呑归佒䱌⬬ⰴ⤰_x0018_＀＀_x0018_＀＀_x0008_＀＀_x0001_＀＀_x0001_＀＀鞍ቮ䂕뤝兓_x001F_偞䕟䍘彈䅒䕔䔨剕唬䑓㐬ㄱ㈸Ⱜ〬착_x0018_＀＀_x0018_＀＀_x0008_＀＀_x0001_＀＀_x0001_＀＀_xDD2F_ؤ閁㿴뤘兓+午䅂䜭幂䍉䕟呓䵉呁⡅偅ⱓ䕍乁儬剔剟䱏ⱌㄫ〬착_x0018_＀＀_x0018_＀＀_x0008_＀＀_x0001_＀＀_x0001_＀＀豀碵꼝쐕뤘兓'乐幃䍉䕟呓䵉呁⡅偅ⱓ䕍乁儬剔剟䱏ⱌ㐫〬착_x0018_＀＀_x0018_＀＀_x0008_＀＀_x0001_＀＀_x0001_＀＀ొ⬂ᚇ㿻뤖兓_x001A_单幂彐䥄卖偟⡄ⰰⰬ∬䥄卖⤢_x0018_＀＀_x0018_＀＀_x0008_＀＀_x0001_＀＀_x0001_＀＀⣶轜㿈뤚兓+呓幉䍉䕟呓䵉呁⡅䕎彔义ⱃ䕍乁儬剔剟䱏ⱌ㈫〬착_x0018_＀＀_x0018_＀＀_x0008_＀＀_x0001_＀＀_x0001_＀＀馚香랙䁶뤙兓)䑔䌭幁䍉䕟呓䵉呁⡅偅ⱓ䕍乁儬剔剟䱏ⱌ㠫〬착_x0018_＀＀_x0018_＀＀_x0008_＀＀_x0001_＀＀_x0001_＀＀⣶轜䀁뤚兓.䅓ⵎ卅䥞彃卅䥔䅍䕔丨呅䥟䍎䴬䅅ⱎ呑归佒䱌⬬ⰱ⤰_x0018_＀＀_x0018_＀＀_x0008_＀＀_x0001_＀＀_x0001_＀＀鞍ቮ_x0003_䂖뤙兓&amp;㌸㘰䥞彃卅䥔䅍䕔䔨卐䴬䅅ⱎ乁ⱎ㈫㄰ⰳ⤰_x0018_＀＀_x0018_＀＀_x0008_＀＀_x0001_＀＀_x0001_＀＀磕⛩࠱䁉뤙兓(㌸㘰䥞彃卅䥔䅍䕔䔨卐䴬䅅ⱎ呑归佒䱌⬬ⰸ⤰_x0018_＀＀_x0018_＀＀_x0008_＀＀_x0001_＀＀_x0001_＀＀豀碵꼝쐕뤙兓'单幂䍉䕟呓䵉呁⡅偅ⱓ䕍乁儬剔剟䱏ⱌ㠫〬착_x0018_＀＀_x0018_＀＀_x0008_＀＀_x0001_＀＀_x0001_＀＀䞮竡긔㿫뤘兓'乐幃䍉䕟呓䵉呁⡅偅ⱓ䕍乁儬剔剟䱏ⱌㄫ〬착_x0018_＀＀_x0018_＀＀_x0008_＀＀_x0001_＀＀_x0001_＀＀휊炣਽㿹뤙兓(䅓ⵎ卅䥞彃卅䥔䅍䕔䔨卐䴬䅅ⱎ乁ⱎ㈫㄰ⰳ⤰_x0018_＀＀_x0018_＀＀_x0008_＀＀_x0001_＀＀_x0001_＀＀_xDF3C_赏溗㿢뤘兓)䑔䌭幁䍉䕟呓䵉呁⡅偅ⱓ䕍乁儬剔剟䱏ⱌ㔫〬착_x0018_＀＀_x0018_＀＀_x0008_＀＀_x0001_＀＀_x0001_＀＀䆉⋐䀀뤘兓(㌸㘰䥞彃卅䥔䅍䕔䔨卐䴬䅅ⱎ呑归佒䱌⬬ⰵ⤰_x0018_＀＀_x0018_＀＀_x0008_＀＀_x0001_＀＀_x0001_＀＀豀碵꼝쐕뤘兓'呓幉䍉䕟呓䵉呁⡅偅ⱓ䕍乁儬剔剟䱏ⱌ㘫〬착_x0018_＀＀_x0018_＀＀_x0008_＀＀_x0001_＀＀_x0001_＀＀퓽㿦뤘兓'单幂䍉䕟呓䵉呁⡅偅ⱓ䕍乁儬剔剟䱏ⱌ㔫〬착_x0018_＀＀_x0018_＀＀_x0008_＀＀_x0001_＀＀_x0001_＀＀᪠_xDD2F_ؤ㿩뤖兓_x0014_单幂彐佃彍䡓当問⡔⤰_x0018_＀＀_x0018_＀＀_x0008_＀＀_x0001_＀＀_x0001_＀＀⼛ⓝ 䂝뤙兓%呓幉䍉䕟呓䵉呁⡅偅ⱓ䕍乁䄬乎⬬〲㔱〬착_x0018_＀＀_x0018_＀＀_x0008_＀＀_x0001_＀＀_x0001_＀＀롒蔞凫䀊뤘兓)䑔䌭幁䍉䕟呓䵉呁⡅偅ⱓ䕍乁儬剔剟䱏ⱌ㈫〬착_x0018_＀＀_x0018_＀＀_x0008_＀＀_x0001_＀＀_x0001_＀＀ꧻ틱㿿뤗兓3午䅂䜭幂䝒彆佃彍䡓当問彔偅当䥄⡌位ⱎⰰⰬⰬ丬䅏䑕呉착_x0018_＀＀_x0018_＀＀_x0008_＀＀_x0001_＀＀_x0001_＀＀＀＀＀＀ퟀ䃑뤘兓(㌸㘰䥞彃卅䥔䅍䕔䔨卐䴬䅅ⱎ呑归佒䱌⬬ⰲ⤰_x0018_＀＀_x0018_＀＀_x0008_＀＀_x0001_＀＀_x0001_＀＀豀碵꼝쐕뤘兓'呓幉䍉䕟呓䵉呁⡅偅ⱓ䕍乁儬剔剟䱏ⱌ㌫〬착_x0018_＀＀_x0018_＀＀_x0008_＀＀_x0001_＀＀_x0001_＀＀쫁䖡㿥뤘兓'单幂䍉䕟呓䵉呁⡅偅ⱓ䕍乁儬剔剟䱏ⱌ㈫〬착_x0018_＀＀_x0018_＀＀_x0008_＀＀_x0001_＀＀_x0001_＀＀炤਽ꏗ㿨뤖兓_x001A_䡆幎彐䥄卖偟⡄ⰰⰬ∬䥄卖⤢_x0018_＀＀_x0018_＀＀_x0008_＀＀_x0001_＀＀_x0001_＀＀馚香香㾩뤜兓(䙒䥞彃卅䥔䅍䕔丨呅䥟䍎䴬䅅ⱎ乁ⱎ㈫㄰ⰴ⤰_x0018_＀＀_x0018_＀＀_x0008_＀＀_x0001_＀＀_x0001_＀＀ꗣ쒛⤠䂒뤙兓%单幂䍉䕟呓䵉呁⡅偅ⱓ䕍乁䄬乎⬬〲㐱〬착_x0018_＀＀_x0018_＀＀_x0008_＀＀_x0001_＀＀_x0001_＀＀ⓝ脆䎕䀊뤜兓_x0016_䡆幎䍉䵟䅅彎偅当呌⡇⤰_x0018_＀＀_x0018_＀＀_x0008_＀＀_x0001_＀＀_x0001_＀＀＀＀＀＀＀＀䀞뤜兓,㌸㘰䥞彃卅䥔䅍䕔丨呅䥟䍎䴬䅅ⱎ呑归佒䱌⬬ⰸ⤰_x0018_＀＀_x0018_＀＀_x0008_＀＀_x0001_＀＀_x0001_＀＀豀碵꼝쐕뤙兓)午䅂䜭幂䍉䕟呓䵉呁⡅偅ⱓ䕍乁䄬乎⬬〲㐱〬착_x0018_＀＀_x0018_＀＀_x0008_＀＀_x0001_＀＀_x0001_＀＀컙号ꗣ㿱뤖兓 䅓ⵎ卅偞偟䥒䕃㐨㈱㘲〮㘴㈱㘲㔸⤲_x0018_＀＀_x0018_＀＀_x0008_＀＀_x0001_＀＀_x0001_＀＀赐溗茒䀖뤗兓＀Ｏ呓幉䝒彆佃彍䡓当問彔偅当䥄⡌位ⱎⰰⰬⰬ丬䅏䑕呉착_x0018_＀＀_x0018_＀＀_x0008_＀＀_x0001_＀＀_x0001_＀＀桳큼䂀뤛兓+䡆幎䍉䕟呓䵉呁⡅䕎彔义ⱃ䕍乁儬剔剟䱏ⱌ㘫〬착_x0018_＀＀_x0018_＀＀_x0008_＀＀_x0001_＀＀_x0001_＀＀＀＀＀＀က䁋뤛兓,㌸㘰䥞彃卅䥔䅍䕔丨呅䥟䍎䴬䅅ⱎ呑归佒䱌⬬ⰵ⤰_x0018_＀＀_x0018_＀＀_x0008_＀＀_x0001_＀＀_x0001_＀＀豀碵꼝쐕뤜兓)乐幃䍉䕟呓䵉呁⡅䕎彔义ⱃ䕍乁䄬乎⬬〲㔱〬착_x0018_＀＀_x0018_＀＀_x0008_＀＀_x0001_＀＀_x0001_＀＀틲才侐䂭뤙兓*䅓ⵎ卅䥞彃卅䥔䅍䕔䔨卐䴬䅅ⱎ呑归佒䱌⬬ⰸ⤰_x0018_＀＀_x0018_＀＀_x0008_＀＀_x0001_＀＀_x0001_＀＀豀碵꼝쐕뤗兓1䑔䌭幁䝒彆佃彍䡓当問彔偅当䥄⡌位ⱎⰰⰬⰬ丬䅏䑕呉착_x0018_＀＀_x0018_＀＀_x0008_＀＀_x0001_＀＀_x0001_＀＀쳍쳌퓌䂌뤚兓+䡆幎䍉䕟呓䵉呁⡅䕎彔义ⱃ䕍乁儬剔剟䱏ⱌ㌫〬착_x0018_＀＀_x0018_＀＀_x0008_＀＀_x0001_＀＀_x0001_＀＀퓾䄦䁉뤚兓,㌸㘰䥞彃卅䥔䅍䕔丨呅䥟䍎䴬䅅ⱎ呑归佒䱌⬬ⰲ⤰_x0018_＀＀_x0018_＀＀_x0008_＀＀_x0001_＀＀_x0001_＀＀豀碵꼝쐕뤙兓%䡆幎䍉䕟呓䵉呁⡅偅ⱓ䕍乁䄬乎⬬〲㌱〬착_x0018_＀＀_x0018_＀＀_x0008_＀＀_x0001_＀＀_x0001_＀＀쫁䖡㿩뤜兓_x0019_䅓ⵎ卅䥞彃䕍乁䕟卐䱟䝔〨착_x0018_＀＀_x0018_＀＀_x0008_＀＀_x0001_＀＀_x0001_＀＀꟰䯆褷쀌뤘兓*䅓ⵎ卅䥞彃卅䥔䅍䕔䔨卐䴬䅅ⱎ呑归佒䱌⬬ⰵ⤰_x0018_＀＀_x0018_＀＀_x0008_＀＀_x0001_＀＀_x0001_＀＀豀碵꼝쐕뤜兓)䡆幎䍉䕟呓䵉呁⡅䕎彔义ⱃ䕍乁䄬乎⬬〲㐱〬착_x0018_＀＀_x0018_＀＀_x0008_＀＀_x0001_＀＀_x0001_＀＀욨㝋覉䁪뤜兓*㌸㘰䥞彃卅䥔䅍䕔丨呅䥟䍎䴬䅅ⱎ乁ⱎ㈫㄰ⰴ⤰_x0018_＀＀_x0018_＀＀_x0008_＀＀_x0001_＀＀_x0001_＀＀＀＀＀＀練䄦뤛兓-䑔䌭幁䍉䕟呓䵉呁⡅䕎彔义ⱃ䕍乁儬剔剟䱏ⱌ㜫〬착_x0018_＀＀_x0018_＀＀_x0008_＀＀_x0001_＀＀_x0001_＀＀ቯ삃돊䂟뤙兓%乐幃䍉䕟呓䵉呁⡅偅ⱓ䕍乁䄬乎⬬〲㔱〬착_x0018_＀＀_x0018_＀＀_x0008_＀＀_x0001_＀＀_x0001_＀＀ቯ삃⇊䀝뤗兓.䙒剞䙇䍟䵏卟午佟呕䕟卐䑟䱉䴨乏〬ⰬⰬⰬ低啁䥄⥔_x0018_＀＀_x0018_＀＀_x0008_＀＀_x0001_＀＀_x0001_＀＀＀＀＀＀가䂕뤘兓*䅓ⵎ卅䥞彃卅䥔䅍䕔䔨卐䴬䅅ⱎ呑归佒䱌⬬ⰲ⤰_x0018_＀＀_x0018_＀＀_x0008_＀＀_x0001_＀＀_x0001_＀＀⼛ⓝ脆㿅뤛兓-䑔䌭幁䍉䕟呓䵉呁⡅䕎彔义ⱃ䕍乁儬剔剟䱏ⱌ㐫〬착_x0018_＀＀_x0018_＀＀_x0008_＀＀_x0001_＀＀_x0001_＀＀溘茒獀䂞뤜兓)䉂幔䍉䕟呓䵉呁⡅䕎彔义ⱃ䕍乁䄬乎⬬〲㔱〬착_x0018_＀＀_x0018_＀＀_x0008_＀＀_x0001_＀＀_x0001_＀＀㥘좴ࣶ䂢뤖兓_x0018_䅓ⵎ卅偞䍟剕䕒䍎⡙䤢体⤢_x0014_＀＀_x0018_＀＀_x0004_＀＀_x0001_＀＀_x0008_＀＀啅R뤖兓_x0016_㌸㘰偞䍟剕䕒䍎⡙䤢体⤢_x0014_＀＀_x0018_＀＀_x0004_＀＀_x0001_＀＀_x0008_＀＀偊Y뤝兓_x001F_偞䕟䍘彈䅒䕔䌨䑁唬䑓㐬ㄱ㈸Ⱜ〬착_x0018_＀＀_x0018_＀＀_x0008_＀＀_x0001_＀＀_x0001_＀＀蒃弨䋐㿰뤛兓+乐幃䍉䕟呓䵉呁⡅䕎彔义ⱃ䕍乁儬剔剟䱏ⱌ㠫〬착_x0018_＀＀_x0018_＀＀_x0008_＀＀_x0001_＀＀_x0001_＀＀䎖沋飧䂎뤙兓$䙒䥞彃卅䥔䅍䕔䔨卐䴬䅅ⱎ乁ⱎ㈫㄰ⰳ⤰_x0018_＀＀_x0018_＀＀_x0008_＀＀_x0001_＀＀_x0001_＀＀㕀멞౉㿪뤛兓+䉂幔䍉䕟呓䵉呁⡅䕎彔义ⱃ䕍乁儬剔剟䱏ⱌ㠫〬착_x0018_＀＀_x0018_＀＀_x0008_＀＀_x0001_＀＀_x0001_＀＀Წ摚眻䂃뤚兓-䑔䌭幁䍉䕟呓䵉呁⡅䕎彔义ⱃ䕍乁儬剔剟䱏ⱌㄫ〬착_x0018_＀＀_x0018_＀＀_x0008_＀＀_x0001_＀＀_x0001_＀＀脆䎕残䂛뤛兓+乐幃䍉䕟呓䵉呁⡅䕎彔义ⱃ䕍乁儬剔剟䱏ⱌ㔫〬착_x0018_＀＀_x0018_＀＀_x0008_＀＀_x0001_＀＀_x0001_＀＀橿璼㮓䂋뤛兓+䉂幔䍉䕟呓䵉呁⡅䕎彔义ⱃ䕍乁儬剔剟䱏ⱌ㔫〬착_x0018_＀＀_x0018_＀＀_x0008_＀＀_x0001_＀＀_x0001_＀＀슏⣵籜䂀뤜兓+䑔䌭幁䍉䕟呓䵉呁⡅䕎彔义ⱃ䕍乁䄬乎⬬〲㐱〬착_x0018_＀＀_x0018_＀＀_x0008_＀＀_x0001_＀＀_x0001_＀＀Ȍ蜫끶䂾뤗兓＀Ｏ䉂幔䝒彆佃彍䡓当問彔偅当䥄⡌位ⱎⰰⰬⰬ丬䅏䑕呉착_x0018_＀＀_x0018_＀＀_x0008_＀＀_x0001_＀＀_x0001_＀＀璼ᢓ✄䂆뤖兓_x0014_䙒偞䍟剕䕒䍎⡙䤢体⤢_x0014_＀＀_x0018_＀＀_x0004_＀＀_x0001_＀＀_x0008_＀＀单D뤙兓&amp;䙒䥞彃卅䥔䅍䕔䔨卐䴬䅅ⱎ呑归佒䱌⬬ⰸ⤰_x0018_＀＀_x0018_＀＀_x0008_＀＀_x0001_＀＀_x0001_＀＀뀡桲㿌뤙兓'䑔䌭幁䍉䕟呓䵉呁⡅偅ⱓ䕍乁䄬乎⬬〲㐱〬착_x0018_＀＀_x0018_＀＀_x0008_＀＀_x0001_＀＀_x0001_＀＀司ꗣ쒛䀠뤚兓+乐幃䍉䕟呓䵉呁⡅䕎彔义ⱃ䕍乁儬剔剟䱏ⱌ㈫〬착_x0018_＀＀_x0018_＀＀_x0008_＀＀_x0001_＀＀_x0001_＀＀鞍ቮ䮃䂋뤚兓+䉂幔䍉䕟呓䵉呁⡅䕎彔义ⱃ䕍乁儬剔剟䱏ⱌ㈫〬착_x0018_＀＀_x0018_＀＀_x0008_＀＀_x0001_＀＀_x0001_＀＀뀡桲양䂀뤛兓+单幂䍉䕟呓䵉呁⡅䕎彔义ⱃ䕍乁儬剔剟䱏ⱌ㠫〬착_x0018_＀＀_x0018_＀＀_x0008_＀＀_x0001_＀＀_x0001_＀＀퓾Ω䂘뤖兓_x0019_午䅂䜭幂彐啃剒久奃∨卉≏착_x0014_＀＀_x0018_＀＀_x0004_＀＀_x0001_＀＀_x0008_＀＀䉇P</t>
        </r>
      </text>
    </comment>
    <comment ref="B1" authorId="0" shapeId="0" xr:uid="{00000000-0006-0000-0100-000002000000}">
      <text>
        <r>
          <rPr>
            <b/>
            <sz val="9"/>
            <color indexed="81"/>
            <rFont val="Tahoma"/>
            <family val="2"/>
          </rPr>
          <t>12105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Ryan MacGregor</author>
  </authors>
  <commentList>
    <comment ref="E193" authorId="0" shapeId="0" xr:uid="{00000000-0006-0000-0200-000001000000}">
      <text>
        <r>
          <rPr>
            <b/>
            <sz val="9"/>
            <color indexed="81"/>
            <rFont val="Tahoma"/>
            <family val="2"/>
          </rPr>
          <t>Macabacus:</t>
        </r>
        <r>
          <rPr>
            <sz val="9"/>
            <color indexed="81"/>
            <rFont val="Tahoma"/>
            <family val="2"/>
          </rPr>
          <t xml:space="preserve">
1 = Sales, 2 = COGS</t>
        </r>
      </text>
    </comment>
    <comment ref="B270" authorId="0" shapeId="0" xr:uid="{00000000-0006-0000-0200-000002000000}">
      <text>
        <r>
          <rPr>
            <b/>
            <sz val="9"/>
            <color indexed="81"/>
            <rFont val="Tahoma"/>
            <family val="2"/>
          </rPr>
          <t>Macabacus:</t>
        </r>
        <r>
          <rPr>
            <sz val="9"/>
            <color indexed="81"/>
            <rFont val="Tahoma"/>
            <family val="2"/>
          </rPr>
          <t xml:space="preserve">
Include only non-PIK instruments here.</t>
        </r>
      </text>
    </comment>
    <comment ref="B304" authorId="0" shapeId="0" xr:uid="{00000000-0006-0000-0200-000003000000}">
      <text>
        <r>
          <rPr>
            <b/>
            <sz val="9"/>
            <color indexed="81"/>
            <rFont val="Tahoma"/>
            <family val="2"/>
          </rPr>
          <t>Macabacus:</t>
        </r>
        <r>
          <rPr>
            <sz val="9"/>
            <color indexed="81"/>
            <rFont val="Tahoma"/>
            <family val="2"/>
          </rPr>
          <t xml:space="preserve">
Expressed as a percentage of total interest/dividends.  PIK normally applies only to subordinated bonds and preferred stock.
With some forms of junior debt and preferred stock, interest and dividend payments may be made "in-kind", meaning that rather than paying interest or dividends with cash, TargetCo may instead pay with additional amounts of debt or preferred stock, as applicable, that increase the face value of these securities.  Payment-in-kind ("PIK") is often structured so that TargetCo has the option to pay either cash or in-kind for the first few years, after which all interest payments and dividends must be paid in cash.  TargetCo will often elect to pay in-kind whenever possible to conserve cash.  Whether such payments are made in-kind or in cash, the interest expense or dividend payments appear in full on the income statement.  Any amounts paid in-kind are added back to net income on the cash flow statement since no cash was actually paid.  We assume here that any years PIK are measured from the date the deal closes.</t>
        </r>
      </text>
    </comment>
    <comment ref="D314" authorId="0" shapeId="0" xr:uid="{00000000-0006-0000-0200-000004000000}">
      <text>
        <r>
          <rPr>
            <b/>
            <sz val="9"/>
            <color indexed="81"/>
            <rFont val="Tahoma"/>
            <family val="2"/>
          </rPr>
          <t>Macabacus:</t>
        </r>
        <r>
          <rPr>
            <sz val="9"/>
            <color indexed="81"/>
            <rFont val="Tahoma"/>
            <family val="2"/>
          </rPr>
          <t xml:space="preserve">
When average interest is not selected, interest expense is computed using the beginning balance.  To break the circular reference, toggle average interest off then back on.  After toggling, hit F9 to recalculate.</t>
        </r>
      </text>
    </comment>
    <comment ref="E317" authorId="0" shapeId="0" xr:uid="{00000000-0006-0000-0200-000005000000}">
      <text>
        <r>
          <rPr>
            <b/>
            <sz val="9"/>
            <color indexed="81"/>
            <rFont val="Tahoma"/>
            <family val="2"/>
          </rPr>
          <t>Macabacus:</t>
        </r>
        <r>
          <rPr>
            <sz val="9"/>
            <color indexed="81"/>
            <rFont val="Tahoma"/>
            <family val="2"/>
          </rPr>
          <t xml:space="preserve">
Enter zero for floating rates.</t>
        </r>
      </text>
    </comment>
    <comment ref="F317" authorId="0" shapeId="0" xr:uid="{00000000-0006-0000-0200-000006000000}">
      <text>
        <r>
          <rPr>
            <b/>
            <sz val="9"/>
            <color indexed="81"/>
            <rFont val="Tahoma"/>
            <family val="2"/>
          </rPr>
          <t>Macabacus:</t>
        </r>
        <r>
          <rPr>
            <sz val="9"/>
            <color indexed="81"/>
            <rFont val="Tahoma"/>
            <family val="2"/>
          </rPr>
          <t xml:space="preserve">
Enter zero for fixed rates.</t>
        </r>
      </text>
    </comment>
    <comment ref="F339" authorId="0" shapeId="0" xr:uid="{00000000-0006-0000-0200-000007000000}">
      <text>
        <r>
          <rPr>
            <b/>
            <sz val="9"/>
            <color indexed="81"/>
            <rFont val="Tahoma"/>
            <family val="2"/>
          </rPr>
          <t>Macabacus:</t>
        </r>
        <r>
          <rPr>
            <sz val="9"/>
            <color indexed="81"/>
            <rFont val="Tahoma"/>
            <family val="2"/>
          </rPr>
          <t xml:space="preserve">
Whether you apply the DRD to deferred taxes is a judgement call.  Accountants will generally advise you not to, since companies rarely pay "catch-up" dividends (i.e. they will not likely distribute dividends in the future that were not distributed in the current period).  So, these undistributed dividends would never qualify for the DRD because they are not expected to be distributed in the future.
If you do expect undistributed earnings to be paid out in a future period, then you would apply the DRD to the undistrubted earnings.</t>
        </r>
      </text>
    </comment>
    <comment ref="B364" authorId="0" shapeId="0" xr:uid="{00000000-0006-0000-0200-000008000000}">
      <text>
        <r>
          <rPr>
            <b/>
            <sz val="9"/>
            <color indexed="81"/>
            <rFont val="Tahoma"/>
            <family val="2"/>
          </rPr>
          <t>Macabacus:</t>
        </r>
        <r>
          <rPr>
            <sz val="9"/>
            <color indexed="81"/>
            <rFont val="Tahoma"/>
            <family val="2"/>
          </rPr>
          <t xml:space="preserve">
This is set up as a plug.  If assumptions are reasonable, this row should go to zero.</t>
        </r>
      </text>
    </comment>
    <comment ref="F407" authorId="0" shapeId="0" xr:uid="{00000000-0006-0000-0200-000009000000}">
      <text>
        <r>
          <rPr>
            <b/>
            <sz val="9"/>
            <color indexed="81"/>
            <rFont val="Tahoma"/>
            <family val="2"/>
          </rPr>
          <t>Macabacus:</t>
        </r>
        <r>
          <rPr>
            <sz val="9"/>
            <color indexed="81"/>
            <rFont val="Tahoma"/>
            <family val="2"/>
          </rPr>
          <t xml:space="preserve">
Assume same as book depreciation by default for simplicity and to avoid masking purchase accounting adjustments on a pro forma basis.  This might be a valid assumption if the company has no existing DTA/DTL.
In reality tax depreciation might use an accelerated MACRS schedule.</t>
        </r>
      </text>
    </comment>
    <comment ref="B410" authorId="0" shapeId="0" xr:uid="{00000000-0006-0000-0200-00000A000000}">
      <text>
        <r>
          <rPr>
            <b/>
            <sz val="9"/>
            <color indexed="81"/>
            <rFont val="Tahoma"/>
            <family val="2"/>
          </rPr>
          <t>Macabacus:</t>
        </r>
        <r>
          <rPr>
            <sz val="9"/>
            <color indexed="81"/>
            <rFont val="Tahoma"/>
            <family val="2"/>
          </rPr>
          <t xml:space="preserve">
Assume same as book depreciation for simplicity and to avoid masking purchase accounting adjustments on a pro forma basis.  This might be a valid assumption if the company has no existing DTA/DTL.
In reality tax depreciation might use an accelerated MACRS schedule.</t>
        </r>
      </text>
    </comment>
    <comment ref="B428" authorId="0" shapeId="0" xr:uid="{00000000-0006-0000-0200-00000B000000}">
      <text>
        <r>
          <rPr>
            <b/>
            <sz val="9"/>
            <color indexed="81"/>
            <rFont val="Tahoma"/>
            <family val="2"/>
          </rPr>
          <t>Macabacus:</t>
        </r>
        <r>
          <rPr>
            <sz val="9"/>
            <color indexed="81"/>
            <rFont val="Tahoma"/>
            <family val="2"/>
          </rPr>
          <t xml:space="preserve">
Assume same as book amortization for simplicity and to avoid masking purchase accounting adjustments on a pro forma basis.  This might be a valid assumption if the company has no existing DTA/DTL.</t>
        </r>
      </text>
    </comment>
    <comment ref="B430" authorId="0" shapeId="0" xr:uid="{00000000-0006-0000-0200-00000C000000}">
      <text>
        <r>
          <rPr>
            <b/>
            <sz val="9"/>
            <color indexed="81"/>
            <rFont val="Tahoma"/>
            <family val="2"/>
          </rPr>
          <t>Macabacus:</t>
        </r>
        <r>
          <rPr>
            <sz val="9"/>
            <color indexed="81"/>
            <rFont val="Tahoma"/>
            <family val="2"/>
          </rPr>
          <t xml:space="preserve">
Assume same as book for simplicity.</t>
        </r>
      </text>
    </comment>
    <comment ref="F452" authorId="0" shapeId="0" xr:uid="{00000000-0006-0000-0200-00000D000000}">
      <text>
        <r>
          <rPr>
            <b/>
            <sz val="9"/>
            <color indexed="81"/>
            <rFont val="Tahoma"/>
            <family val="2"/>
          </rPr>
          <t>Macabacus:</t>
        </r>
        <r>
          <rPr>
            <sz val="9"/>
            <color indexed="81"/>
            <rFont val="Tahoma"/>
            <family val="2"/>
          </rPr>
          <t xml:space="preserve">
This is the maximum amount of NOL that can be used to offset taxable income (as calculated for tax purposes) in each lookforward period.</t>
        </r>
      </text>
    </comment>
    <comment ref="F469" authorId="0" shapeId="0" xr:uid="{00000000-0006-0000-0200-00000E000000}">
      <text>
        <r>
          <rPr>
            <b/>
            <sz val="9"/>
            <color indexed="81"/>
            <rFont val="Tahoma"/>
            <family val="2"/>
          </rPr>
          <t>Macabacus:</t>
        </r>
        <r>
          <rPr>
            <sz val="9"/>
            <color indexed="81"/>
            <rFont val="Tahoma"/>
            <family val="2"/>
          </rPr>
          <t xml:space="preserve">
NOL may be be carried forward up to 20 years.  In practice, NOL may be accumulated over a span of time, such that the average remaining life of the NOL, in aggregate, is less than 20 years.  For simplicity, we assume that all NOL were generated in a single period 5 years ago, such that the remaining life is 20-5=15 years.  Ultimately, this is a diligence item.</t>
        </r>
      </text>
    </comment>
    <comment ref="F481" authorId="0" shapeId="0" xr:uid="{00000000-0006-0000-0200-00000F000000}">
      <text>
        <r>
          <rPr>
            <b/>
            <sz val="9"/>
            <color indexed="81"/>
            <rFont val="Tahoma"/>
            <family val="2"/>
          </rPr>
          <t>Macabacus:</t>
        </r>
        <r>
          <rPr>
            <sz val="9"/>
            <color indexed="81"/>
            <rFont val="Tahoma"/>
            <family val="2"/>
          </rPr>
          <t xml:space="preserve">
This is an approximation to ensure the math works for illustrative purposes.  The disclosed DTA attributable to NOL may not exactly equal the NOL times the tax rate.</t>
        </r>
      </text>
    </comment>
    <comment ref="B546" authorId="0" shapeId="0" xr:uid="{00000000-0006-0000-0200-000010000000}">
      <text>
        <r>
          <rPr>
            <b/>
            <sz val="9"/>
            <color indexed="81"/>
            <rFont val="Tahoma"/>
            <family val="2"/>
          </rPr>
          <t>Macabacus:</t>
        </r>
        <r>
          <rPr>
            <sz val="9"/>
            <color indexed="81"/>
            <rFont val="Tahoma"/>
            <family val="2"/>
          </rPr>
          <t xml:space="preserve">
Note that we do not tax effect the add-back of preferred dividends.</t>
        </r>
      </text>
    </comment>
    <comment ref="B552" authorId="0" shapeId="0" xr:uid="{00000000-0006-0000-0200-000011000000}">
      <text>
        <r>
          <rPr>
            <b/>
            <sz val="9"/>
            <color indexed="81"/>
            <rFont val="Tahoma"/>
            <family val="2"/>
          </rPr>
          <t>Macabacus:</t>
        </r>
        <r>
          <rPr>
            <sz val="9"/>
            <color indexed="81"/>
            <rFont val="Tahoma"/>
            <family val="2"/>
          </rPr>
          <t xml:space="preserve">
If the security is anti-dilutive, it is not included in the fully diluted share count.  Conversely, if the security is dilutive, it is included in the fully diluted share count.</t>
        </r>
      </text>
    </comment>
  </commentList>
</comments>
</file>

<file path=xl/sharedStrings.xml><?xml version="1.0" encoding="utf-8"?>
<sst xmlns="http://schemas.openxmlformats.org/spreadsheetml/2006/main" count="442" uniqueCount="343">
  <si>
    <t>Assets</t>
  </si>
  <si>
    <t>Check</t>
  </si>
  <si>
    <t>Total liabilities</t>
  </si>
  <si>
    <t>Total assets</t>
  </si>
  <si>
    <t>Other assets</t>
  </si>
  <si>
    <t>Goodwill</t>
  </si>
  <si>
    <t>Balance Sheet</t>
  </si>
  <si>
    <t>NA</t>
  </si>
  <si>
    <t>Tax rate</t>
  </si>
  <si>
    <t>($ in millions)</t>
  </si>
  <si>
    <t>Total liabilities &amp; shareholders' equity</t>
  </si>
  <si>
    <t>Cash</t>
  </si>
  <si>
    <t>Net income</t>
  </si>
  <si>
    <t>Noncontrolling interests</t>
  </si>
  <si>
    <t>This sheet contains Factset binary data for use with this workbook's =FDS codes.  Modifying the worksheet's contents may damage the workbook's =FDS functionality.</t>
  </si>
  <si>
    <t>Amortization of intangibles</t>
  </si>
  <si>
    <t>PP&amp;E, gross</t>
  </si>
  <si>
    <t>( – ) Accumulated depreciation</t>
  </si>
  <si>
    <t>PP&amp;E, net</t>
  </si>
  <si>
    <t>Total current assets</t>
  </si>
  <si>
    <t>Cash and equivalents</t>
  </si>
  <si>
    <t>Accounts receivable</t>
  </si>
  <si>
    <t>Inventory</t>
  </si>
  <si>
    <t>Other current assets</t>
  </si>
  <si>
    <t>Other intangible assets</t>
  </si>
  <si>
    <t>Accounts payable</t>
  </si>
  <si>
    <t>Accrued expenses</t>
  </si>
  <si>
    <t>Income taxes payable</t>
  </si>
  <si>
    <t>Deferred revenue</t>
  </si>
  <si>
    <t>Other current liabilities</t>
  </si>
  <si>
    <t>Current portion of long-term debt</t>
  </si>
  <si>
    <t>Total current liabilities</t>
  </si>
  <si>
    <t>Liabilities &amp; Shareholders' Equity</t>
  </si>
  <si>
    <t>Other long-term liabilities</t>
  </si>
  <si>
    <t>Revolver</t>
  </si>
  <si>
    <t>Total</t>
  </si>
  <si>
    <t>Non-cash current assets</t>
  </si>
  <si>
    <t>Non-debt current liabilities</t>
  </si>
  <si>
    <t>Net working capital</t>
  </si>
  <si>
    <t>Deferred tax asset, current</t>
  </si>
  <si>
    <t>Client deposits</t>
  </si>
  <si>
    <t>Net Working Capital</t>
  </si>
  <si>
    <t>Working Capital Drivers</t>
  </si>
  <si>
    <t>Sales</t>
  </si>
  <si>
    <t>COGS</t>
  </si>
  <si>
    <t>Total revenue</t>
  </si>
  <si>
    <t>Gross profit</t>
  </si>
  <si>
    <t>SG&amp;A</t>
  </si>
  <si>
    <t>EBITDA</t>
  </si>
  <si>
    <t>Depreciation</t>
  </si>
  <si>
    <t>Amortization</t>
  </si>
  <si>
    <t>Stock-based comp</t>
  </si>
  <si>
    <t>EBIT</t>
  </si>
  <si>
    <t>EBITA</t>
  </si>
  <si>
    <t>Interest (income) / expense</t>
  </si>
  <si>
    <t>Other (income) / expense</t>
  </si>
  <si>
    <t>Income before taxes</t>
  </si>
  <si>
    <t>Provision for tax</t>
  </si>
  <si>
    <t>One-time charges</t>
  </si>
  <si>
    <t>GAAP net income</t>
  </si>
  <si>
    <t>Cash diluted EPS</t>
  </si>
  <si>
    <t>GAAP diluted EPS</t>
  </si>
  <si>
    <t>Capital expenditures</t>
  </si>
  <si>
    <t>Sales growth</t>
  </si>
  <si>
    <t>COGS / sales</t>
  </si>
  <si>
    <t>SG&amp;A / sales</t>
  </si>
  <si>
    <t>Depreciation / sales</t>
  </si>
  <si>
    <t>Amortization / sales</t>
  </si>
  <si>
    <t>Stock-based comp / sales</t>
  </si>
  <si>
    <t>Capex / sales</t>
  </si>
  <si>
    <t>Gross margin</t>
  </si>
  <si>
    <t>EBITDA margin</t>
  </si>
  <si>
    <t>EBIT margin</t>
  </si>
  <si>
    <t>EBITA margin</t>
  </si>
  <si>
    <t>Cash net margin</t>
  </si>
  <si>
    <t>GAAP net margin</t>
  </si>
  <si>
    <t>Selector</t>
  </si>
  <si>
    <t>Fully diluted shares outstanding (FDSO)</t>
  </si>
  <si>
    <t>Basic shares outstanding (BSO)</t>
  </si>
  <si>
    <t>Operating Activities</t>
  </si>
  <si>
    <t>Stock-based compensation</t>
  </si>
  <si>
    <t>Income statement adjustments</t>
  </si>
  <si>
    <t>(Increase) / decrease in working capital</t>
  </si>
  <si>
    <t>Balance sheet adjustments</t>
  </si>
  <si>
    <t>Cash flow from operating activities</t>
  </si>
  <si>
    <t>Investing Activities</t>
  </si>
  <si>
    <t>Cash flow from investing activities</t>
  </si>
  <si>
    <t>Financing Activities</t>
  </si>
  <si>
    <t>Cash flow from financing activities</t>
  </si>
  <si>
    <t>Change in cash</t>
  </si>
  <si>
    <t>GAAP net income available to common</t>
  </si>
  <si>
    <t>GAAP to cash reconciliation</t>
  </si>
  <si>
    <t>GAAP earnings growth</t>
  </si>
  <si>
    <t>Cash earnings growth</t>
  </si>
  <si>
    <t>Cash net income available to common</t>
  </si>
  <si>
    <t>Useful life (yrs)</t>
  </si>
  <si>
    <t>Options</t>
  </si>
  <si>
    <t>Number of</t>
  </si>
  <si>
    <t>Average</t>
  </si>
  <si>
    <t>Treasury</t>
  </si>
  <si>
    <t>Strike</t>
  </si>
  <si>
    <t>Tranche 1</t>
  </si>
  <si>
    <t>Tranche 2</t>
  </si>
  <si>
    <t>Tranche 3</t>
  </si>
  <si>
    <t>Tranche 4</t>
  </si>
  <si>
    <t>Tranche 5</t>
  </si>
  <si>
    <t>Tranche 6</t>
  </si>
  <si>
    <t>Tranche 7</t>
  </si>
  <si>
    <t>Tranche 8</t>
  </si>
  <si>
    <t>Tranche 9</t>
  </si>
  <si>
    <t>Tranche 10</t>
  </si>
  <si>
    <t>Fractional years per period</t>
  </si>
  <si>
    <t>Year</t>
  </si>
  <si>
    <t>Common dividend per share</t>
  </si>
  <si>
    <t>Common dividend</t>
  </si>
  <si>
    <t>Price</t>
  </si>
  <si>
    <t>Method</t>
  </si>
  <si>
    <t>Stock Options</t>
  </si>
  <si>
    <t>Options Outstanding</t>
  </si>
  <si>
    <t>Options Exercisable</t>
  </si>
  <si>
    <t>Convertible Securities</t>
  </si>
  <si>
    <t>Conversion</t>
  </si>
  <si>
    <t>Convertible</t>
  </si>
  <si>
    <t>Total Treasury Method shares</t>
  </si>
  <si>
    <t>( + ) In-the-money Treasury Method option shares</t>
  </si>
  <si>
    <t>Total debt</t>
  </si>
  <si>
    <t>Shares Outstanding</t>
  </si>
  <si>
    <t>Security?</t>
  </si>
  <si>
    <t>Coupon</t>
  </si>
  <si>
    <t>Preferred</t>
  </si>
  <si>
    <t>Inventory days</t>
  </si>
  <si>
    <t>Accounts payable days</t>
  </si>
  <si>
    <t>Accounts receivable days</t>
  </si>
  <si>
    <t>Inventory turnover</t>
  </si>
  <si>
    <t>Purchases</t>
  </si>
  <si>
    <t>Beginning balance</t>
  </si>
  <si>
    <t>( + ) Revolver draw-down</t>
  </si>
  <si>
    <t>( – ) Revolver pay-down</t>
  </si>
  <si>
    <t>Ending balance</t>
  </si>
  <si>
    <t>Average interest?</t>
  </si>
  <si>
    <t>( – ) Mandatory repayment</t>
  </si>
  <si>
    <t>( – ) Optional repayment</t>
  </si>
  <si>
    <t>( – ) Scheduled maturity</t>
  </si>
  <si>
    <t>( + ) PIK accretion</t>
  </si>
  <si>
    <t>( – ) Retirement</t>
  </si>
  <si>
    <t>( – ) Minimum cash balance</t>
  </si>
  <si>
    <t>Beginning cash balance</t>
  </si>
  <si>
    <t>Excess cash / (cash deficit)</t>
  </si>
  <si>
    <t>( + ) Cash flow available for debt service</t>
  </si>
  <si>
    <t>( – ) Scheduled debt repayment</t>
  </si>
  <si>
    <t>Cash available for sweep / (revolver draw-down)</t>
  </si>
  <si>
    <t>Total cash available for debt service</t>
  </si>
  <si>
    <t>Sweep</t>
  </si>
  <si>
    <t>Total optional debt repayment</t>
  </si>
  <si>
    <t>Debt Schedule</t>
  </si>
  <si>
    <t>Optional debt repayment</t>
  </si>
  <si>
    <t>Interest Rates</t>
  </si>
  <si>
    <t>Revolver – interest</t>
  </si>
  <si>
    <t>Revolver – undrawn commitment fee</t>
  </si>
  <si>
    <t>LIBOR</t>
  </si>
  <si>
    <t>Undrawn revolver balance</t>
  </si>
  <si>
    <t>Undrawn commitment fee</t>
  </si>
  <si>
    <t>Depreciation Schedule</t>
  </si>
  <si>
    <t>Tax Schedule</t>
  </si>
  <si>
    <t>Working Capital</t>
  </si>
  <si>
    <t>Debt Triggers</t>
  </si>
  <si>
    <t>Spread to</t>
  </si>
  <si>
    <t>Senior</t>
  </si>
  <si>
    <t>Debt?</t>
  </si>
  <si>
    <t>Net income attributable to noncontrolling interests</t>
  </si>
  <si>
    <t>Income Statement</t>
  </si>
  <si>
    <t>Cash Flow Statement</t>
  </si>
  <si>
    <t>Equity income in affiliates</t>
  </si>
  <si>
    <t>Equity investments</t>
  </si>
  <si>
    <t>Key Performance Metrics &amp; Drivers</t>
  </si>
  <si>
    <t>( – ) Cash dividends received from equity investments</t>
  </si>
  <si>
    <t>Undistributed earnings</t>
  </si>
  <si>
    <t>Dividends Received Deduction (DRD)</t>
  </si>
  <si>
    <t>Income tax expense</t>
  </si>
  <si>
    <t>Current taxes payable</t>
  </si>
  <si>
    <t>Equity Investments</t>
  </si>
  <si>
    <t>Deferred tax expense</t>
  </si>
  <si>
    <t>Tax benefit from DRD</t>
  </si>
  <si>
    <t>Tax depreciation of capex</t>
  </si>
  <si>
    <t>( + ) Book depreciation of existing fixed assets</t>
  </si>
  <si>
    <t>( – ) Tax depreciation</t>
  </si>
  <si>
    <t>( – ) Tax amortization of intangible assets</t>
  </si>
  <si>
    <t>( – ) Tax amortization of tax-deductible goodwill</t>
  </si>
  <si>
    <t>( – ) Stock-based compensation</t>
  </si>
  <si>
    <t>( + ) Distributed equity income in affiliates</t>
  </si>
  <si>
    <t>( + ) Interest income / (expense)</t>
  </si>
  <si>
    <t>( + ) Other income / (expense)</t>
  </si>
  <si>
    <t>Federal tax rate</t>
  </si>
  <si>
    <t>State and local tax rate</t>
  </si>
  <si>
    <t>Blended tax rate</t>
  </si>
  <si>
    <t>Total book depreciation expense</t>
  </si>
  <si>
    <t>Midpoint convention</t>
  </si>
  <si>
    <t>Book tax expense</t>
  </si>
  <si>
    <t>( + ) Deferred tax expense / (benefit)</t>
  </si>
  <si>
    <t>( + ) NOL created</t>
  </si>
  <si>
    <t>( – ) NOL used</t>
  </si>
  <si>
    <t>( – ) NOL expired</t>
  </si>
  <si>
    <t>Increase / (decrease) in DTA attributable to NOL</t>
  </si>
  <si>
    <t>Net deferred tax liability / (asset)</t>
  </si>
  <si>
    <t>Increase / (decrease) in net DTL</t>
  </si>
  <si>
    <t>Net DTL – beginning balance</t>
  </si>
  <si>
    <t>Tax Depreciation</t>
  </si>
  <si>
    <t>Remaining NOL life (yrs)</t>
  </si>
  <si>
    <t>Cash Taxes &amp; Net DTL</t>
  </si>
  <si>
    <t>Alternative Minimum Tax (AMT)</t>
  </si>
  <si>
    <t>Maximum taxable income offset</t>
  </si>
  <si>
    <t>Effective AMT tax rate</t>
  </si>
  <si>
    <t>State and local taxable income</t>
  </si>
  <si>
    <t>Federal taxable income</t>
  </si>
  <si>
    <t>( – ) State and local cash taxes</t>
  </si>
  <si>
    <t>Federal cash taxes</t>
  </si>
  <si>
    <t>( + ) State and local cash taxes</t>
  </si>
  <si>
    <t>Total cash taxes payable</t>
  </si>
  <si>
    <t>Alternative minimum tax (before credits)</t>
  </si>
  <si>
    <t>Tax payable before AMT credit used</t>
  </si>
  <si>
    <t>( – ) AMT tax credit used</t>
  </si>
  <si>
    <t>Effective federal cash tax rate</t>
  </si>
  <si>
    <t>AMT tax credit carryforward</t>
  </si>
  <si>
    <t>AMT tax credit – beginning balance</t>
  </si>
  <si>
    <t>AMT tax credit – ending balance</t>
  </si>
  <si>
    <t>( + ) AMT tax credit generated</t>
  </si>
  <si>
    <t>Federal tax at statutory rate (post-NOL)</t>
  </si>
  <si>
    <t>Total taxable income</t>
  </si>
  <si>
    <t>Corporate AMT tax rate</t>
  </si>
  <si>
    <t>*** SOME OR ALL OF THIS SECTION MAY NOT APPLY OUTSIDE THE UNITED STATES ***</t>
  </si>
  <si>
    <t>Basic EPS</t>
  </si>
  <si>
    <t>Is conversion dilutive?</t>
  </si>
  <si>
    <t>Conversion price</t>
  </si>
  <si>
    <t>Convertible shares</t>
  </si>
  <si>
    <t>Face value</t>
  </si>
  <si>
    <t>EPS if converted</t>
  </si>
  <si>
    <t>Fixed Rate /</t>
  </si>
  <si>
    <t>Interest Expense / Preferred Dividends</t>
  </si>
  <si>
    <t>Total interest expense</t>
  </si>
  <si>
    <t>Total preferred dividends</t>
  </si>
  <si>
    <t>Interest &amp; Dividends Paid-in-Kind (PIK)</t>
  </si>
  <si>
    <t>Current share price</t>
  </si>
  <si>
    <t>Fully Diluted Shares Outstanding</t>
  </si>
  <si>
    <t>Scheduled Debt Amortization (%)</t>
  </si>
  <si>
    <t>Convertible preferred dividends</t>
  </si>
  <si>
    <t>Straight preferred dividends</t>
  </si>
  <si>
    <t>Preferred dividends</t>
  </si>
  <si>
    <t>Senior interest expense</t>
  </si>
  <si>
    <t>Cash interest expense</t>
  </si>
  <si>
    <t>Interest Expense</t>
  </si>
  <si>
    <t>Fixed charges (total interest &amp; preferred dividends)</t>
  </si>
  <si>
    <t>EBITDA / senior interest expense</t>
  </si>
  <si>
    <t>EBITDA / cash interest expense</t>
  </si>
  <si>
    <t>EBITDA / total interest expense</t>
  </si>
  <si>
    <t>EBITDA / fixed charges</t>
  </si>
  <si>
    <t>(EBITDA – capex) / senior interest expense</t>
  </si>
  <si>
    <t>EBITDA – capex</t>
  </si>
  <si>
    <t>(EBITDA – capex) / total interest expense</t>
  </si>
  <si>
    <t>(EBITDA – capex) / cash interest expense</t>
  </si>
  <si>
    <t>(EBITDA – capex) / fixed charges</t>
  </si>
  <si>
    <t>Leverage</t>
  </si>
  <si>
    <t>Senior debt / total capitalization</t>
  </si>
  <si>
    <t>Net debt / total capitalization</t>
  </si>
  <si>
    <t>Senior debt / EBITDA</t>
  </si>
  <si>
    <t>Total debt / EBITDA</t>
  </si>
  <si>
    <t>Net debt / EBITDA</t>
  </si>
  <si>
    <t>Net debt + preferred / EBITDA</t>
  </si>
  <si>
    <t>EBITDA – capex – Δ WC</t>
  </si>
  <si>
    <t>(EBITDA – capex – Δ WC) / senior interest expense</t>
  </si>
  <si>
    <t>(EBITDA – capex – Δ WC) / cash interest expense</t>
  </si>
  <si>
    <t>(EBITDA – capex – Δ WC) / total interest expense</t>
  </si>
  <si>
    <t>(EBITDA – capex – Δ WC) / fixed charges</t>
  </si>
  <si>
    <t>Net debt</t>
  </si>
  <si>
    <t>Senior debt</t>
  </si>
  <si>
    <t>Preferred stock</t>
  </si>
  <si>
    <t>Total capitalization</t>
  </si>
  <si>
    <t>ROIC</t>
  </si>
  <si>
    <t>ROE</t>
  </si>
  <si>
    <t>ROA</t>
  </si>
  <si>
    <t>Coverage</t>
  </si>
  <si>
    <t>Capitalization</t>
  </si>
  <si>
    <t>( + ) Tax depreciation of existing fixed assets</t>
  </si>
  <si>
    <t>Book depreciation of capex</t>
  </si>
  <si>
    <t>Total tax depreciation expense</t>
  </si>
  <si>
    <t>Fiscal Years Ending December 31,</t>
  </si>
  <si>
    <t>MRY</t>
  </si>
  <si>
    <t>x</t>
  </si>
  <si>
    <t>Source:  IRS Publication 946, Table A-1.</t>
  </si>
  <si>
    <t>MACRS depreciation of capex</t>
  </si>
  <si>
    <t>Property class (yrs)</t>
  </si>
  <si>
    <t>Book Depreciation (straight-line)</t>
  </si>
  <si>
    <t>Use MACRS depreciation of capex?</t>
  </si>
  <si>
    <t>Bank revolver commitment</t>
  </si>
  <si>
    <t>Cash dividends from equity investments</t>
  </si>
  <si>
    <t>DISCLAIMER</t>
  </si>
  <si>
    <t>LIMITATION OF LIABILITY OF MACABACUS</t>
  </si>
  <si>
    <t>feedback@macabacus.com</t>
  </si>
  <si>
    <t>Macabacus Operating Model</t>
  </si>
  <si>
    <t>Modified Accelerated Cost Recovery System (MACRS) Depreciation</t>
  </si>
  <si>
    <t>MACRS Property Class</t>
  </si>
  <si>
    <t>Senior credit facility</t>
  </si>
  <si>
    <t>Subordinated note</t>
  </si>
  <si>
    <t>Convertible bond</t>
  </si>
  <si>
    <t>Common equity</t>
  </si>
  <si>
    <t>Net DTL– ending balance</t>
  </si>
  <si>
    <t>Summary Credit Metrics</t>
  </si>
  <si>
    <t>(Increase) / decrease in other assets</t>
  </si>
  <si>
    <t>Increase / (decrease) in other liabilities</t>
  </si>
  <si>
    <t>Unencumbered NOL</t>
  </si>
  <si>
    <t>Acquired NOL Subject to Section 382</t>
  </si>
  <si>
    <t>Annual Sec. 382 NOL deduction limit</t>
  </si>
  <si>
    <t>Acquired NOL subject to Sec. 382</t>
  </si>
  <si>
    <t>Unused limitation carryforward</t>
  </si>
  <si>
    <t>( + ) Carryforward created</t>
  </si>
  <si>
    <t>( – ) Carryforward used</t>
  </si>
  <si>
    <t>DTA attributable to NOL</t>
  </si>
  <si>
    <t>Strictly Confidential</t>
  </si>
  <si>
    <t>Table of Contents</t>
  </si>
  <si>
    <t>© 2023 Macabacus, LLC</t>
  </si>
  <si>
    <t>This model represents a hypothetical DCF of a hypothetical company. Any similarity between the financial metrics of this company and actual companies</t>
  </si>
  <si>
    <t>is purely coincidental. Macabacus does not provide investment, accounting or tax advice. Additionally, tax and accounting rules used in the model are</t>
  </si>
  <si>
    <t>illustrative and may not reflect current tax or accounting rules and standards.</t>
  </si>
  <si>
    <t>Except as otherwise expressly stated, including but not limited to in a license or other agreement governing the use of specific content, all content in this</t>
  </si>
  <si>
    <t>model is provided "as is," and Macabacus makes no representations or warranties, express or implied, including but not limited to warranties</t>
  </si>
  <si>
    <t xml:space="preserve">of merchantability, fitness for a particular purpose, title or non-infringement of proprietary rights. Without limiting the foregoing, Macabacus </t>
  </si>
  <si>
    <t>makes no representation or warranty that content in this model is free from error or suitable for any purpose; nor that the use of such</t>
  </si>
  <si>
    <t xml:space="preserve">content will not infringe any third-party copyrights, trademarks or other intellectual property rights. You understand and agree that you </t>
  </si>
  <si>
    <t xml:space="preserve">download or otherwise obtain content through Macabacus' websites at your own discretion and risk, and that Macabacus will have no </t>
  </si>
  <si>
    <t>liability or responsibility for any damage to your computer system or data that results from the download or use of such content. Some</t>
  </si>
  <si>
    <t>jurisdictions may not allow the exclusion of implied warranties, so some of the above limitations may not apply to you.</t>
  </si>
  <si>
    <t>Except as otherwise expressly stated, including but not limited to in a license or other agreement governing the use of specific content, in no event will Macabacus</t>
  </si>
  <si>
    <t>be liabile to you or any other party for any direct, indirect, special, consequential or exemplary damages, regardless of the basis or nature of the claim, resulting</t>
  </si>
  <si>
    <t>from any use of this model, or the contents thereof, including without limitation any lost profits, business interruption, loss of data or otherwise, even if Macabacus</t>
  </si>
  <si>
    <t>was expressly advised of the possibility of such damages. Some jurisdictions may not allow the exclcusion or limitation of liability for certain incidental or</t>
  </si>
  <si>
    <t>consequential damages, so some of the above limitations may not apply to you.</t>
  </si>
  <si>
    <t>This Excel model is for educational purposes only and should not be used for any other reason. All content is Copyright material of CFI Education Inc.</t>
  </si>
  <si>
    <t>All rights reserved.  The contents of this publication, including but not limited to all written material, content layout, images, formulas, and code, are protected</t>
  </si>
  <si>
    <t>under international copyright and trademark laws.  No part of this publication may be modified, manipulated, reproduced, distributed, or transmitted in any</t>
  </si>
  <si>
    <t xml:space="preserve">form by any means, including photocopying, recording, or other electronic or mechanical methods, without prior written permission of the publisher, </t>
  </si>
  <si>
    <t>except in the case of certain noncommercial uses permitted by copyright law.</t>
  </si>
  <si>
    <t>https://www.macabacus.com/</t>
  </si>
  <si>
    <t xml:space="preserve"> </t>
  </si>
  <si>
    <t>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</si>
</sst>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2" formatCode="_(&quot;$&quot;* #,##0_);_(&quot;$&quot;* \(#,##0\);_(&quot;$&quot;* &quot;-&quot;_);_(@_)"/>
    <numFmt numFmtId="41" formatCode="_(* #,##0_);_(* \(#,##0\);_(* &quot;-&quot;_);_(@_)"/>
    <numFmt numFmtId="164" formatCode="_(0.0%_);\(0.0%\);_(&quot;–&quot;_)_%;@_(_%"/>
    <numFmt numFmtId="165" formatCode="_(#,##0_)_%;_(\(#,##0\)_%;_(&quot;–&quot;_)_%;@_(_%"/>
    <numFmt numFmtId="166" formatCode="0_)_%;_(\(0\)_%;0_)_%;@_(_%"/>
    <numFmt numFmtId="167" formatCode="_(0.00%_);\(0.00%\);_(&quot;–&quot;_)_%;@_(_%"/>
    <numFmt numFmtId="168" formatCode="_(#,##0.0_)_%;_(\(#,##0.0\)_%;_(&quot;–&quot;_)_%;@_(_%"/>
    <numFmt numFmtId="169" formatCode="_(#,##0.00_)_%;_(\(#,##0.00\)_%;_(&quot;–&quot;_)_%;@_(_%"/>
    <numFmt numFmtId="170" formatCode="_(0.00&quot;%&quot;_);\(0.00&quot;%&quot;\);_(&quot;–&quot;_)_%;@_)_%"/>
    <numFmt numFmtId="171" formatCode="_([$$]#,##0.0_)_%;\([$$]#,##0.0\)_%;_(&quot;–&quot;_)_%;@_)_%"/>
    <numFmt numFmtId="172" formatCode="_(&quot;$&quot;#,##0.00_)_%;_(\(&quot;$&quot;#,##0.00\)_%;_(&quot;–&quot;_)_%;@_(_%"/>
    <numFmt numFmtId="173" formatCode="_(#,##0.000_)_%;_(\(#,##0.000\)_%;_(&quot;–&quot;_)_%;@_(_%"/>
    <numFmt numFmtId="174" formatCode="&quot;Yes&quot;_)_%;;&quot;No&quot;_)_%"/>
    <numFmt numFmtId="175" formatCode="mm/dd/yy;@"/>
    <numFmt numFmtId="176" formatCode="yyyy"/>
    <numFmt numFmtId="177" formatCode="#,##0.0_);\(#,##0.0\);#,##0.0_);@_)"/>
    <numFmt numFmtId="178" formatCode="_(&quot;$&quot;#,##0.0_)_%;_(\(&quot;$&quot;#,##0.0\)_%;_(&quot;–&quot;_)_%;@_(_%"/>
    <numFmt numFmtId="179" formatCode="&quot;$&quot;#,##0.0_);\(&quot;$&quot;#,##0.0\);&quot;$&quot;#,##0.0_);@_)"/>
    <numFmt numFmtId="180" formatCode="_(0.0\x_)_)_';_(\(0.0\x\)_'_';_(&quot;–&quot;_)_%;@_(_%"/>
    <numFmt numFmtId="181" formatCode="_(0.00\x_)_)_';_(\(0.00\x\)_'_';_(&quot;–&quot;_)_%;@_(_%"/>
    <numFmt numFmtId="182" formatCode="&quot;Yes&quot;_)_%;&quot;ERROR&quot;_)_%;&quot;No&quot;_)_%;&quot;ERROR&quot;_)_%"/>
    <numFmt numFmtId="183" formatCode="_(#,##0_)_%;\(#,##0\)_%;_(&quot;–&quot;_)_%;_(@_)_%"/>
  </numFmts>
  <fonts count="75">
    <font>
      <sz val="10"/>
      <color indexed="16"/>
      <name val="Credit Suisse Type Roman"/>
      <family val="2"/>
    </font>
    <font>
      <sz val="10"/>
      <color theme="1"/>
      <name val="Open Sans"/>
      <family val="2"/>
    </font>
    <font>
      <sz val="11"/>
      <color theme="1"/>
      <name val="Calibri"/>
      <family val="2"/>
      <scheme val="minor"/>
    </font>
    <font>
      <sz val="10"/>
      <color indexed="16"/>
      <name val="Credit Suisse Type Roman"/>
      <family val="2"/>
    </font>
    <font>
      <sz val="10"/>
      <name val="Arial"/>
      <family val="2"/>
    </font>
    <font>
      <b/>
      <sz val="9"/>
      <color indexed="81"/>
      <name val="Tahoma"/>
      <family val="2"/>
    </font>
    <font>
      <sz val="9"/>
      <color indexed="81"/>
      <name val="Tahoma"/>
      <family val="2"/>
    </font>
    <font>
      <sz val="11"/>
      <name val="￥i￠￢￠?o"/>
      <family val="3"/>
      <charset val="255"/>
    </font>
    <font>
      <sz val="12"/>
      <name val="ⓒoUAAA¨u"/>
      <family val="1"/>
      <charset val="255"/>
    </font>
    <font>
      <sz val="12"/>
      <name val="¹ÙÅÁÃ¼"/>
      <family val="1"/>
      <charset val="129"/>
    </font>
    <font>
      <sz val="12"/>
      <name val="¹UAAA¼"/>
      <family val="3"/>
      <charset val="129"/>
    </font>
    <font>
      <sz val="12"/>
      <name val="System"/>
      <family val="3"/>
      <charset val="129"/>
    </font>
    <font>
      <sz val="10"/>
      <name val="±¼¸²Ã¼"/>
      <family val="3"/>
      <charset val="129"/>
    </font>
    <font>
      <sz val="10"/>
      <color indexed="16"/>
      <name val="Calibri"/>
      <family val="2"/>
      <scheme val="minor"/>
    </font>
    <font>
      <b/>
      <sz val="15"/>
      <color theme="3"/>
      <name val="Calibri"/>
      <family val="2"/>
      <scheme val="minor"/>
    </font>
    <font>
      <b/>
      <sz val="11"/>
      <color rgb="FF3F3F3F"/>
      <name val="Calibri"/>
      <family val="2"/>
      <scheme val="minor"/>
    </font>
    <font>
      <sz val="10"/>
      <color theme="0"/>
      <name val="Open Sans"/>
      <family val="2"/>
    </font>
    <font>
      <sz val="11"/>
      <color theme="1"/>
      <name val="Open Sans"/>
      <family val="2"/>
    </font>
    <font>
      <sz val="11"/>
      <color rgb="FFC32838"/>
      <name val="Calibri"/>
      <family val="2"/>
      <scheme val="minor"/>
    </font>
    <font>
      <b/>
      <sz val="20"/>
      <color rgb="FF264E58"/>
      <name val="Open Sans"/>
      <family val="2"/>
    </font>
    <font>
      <b/>
      <sz val="14"/>
      <color rgb="FF264E58"/>
      <name val="Open Sans"/>
      <family val="2"/>
    </font>
    <font>
      <u/>
      <sz val="10"/>
      <color theme="10"/>
      <name val="Arial"/>
      <family val="2"/>
    </font>
    <font>
      <u/>
      <sz val="12"/>
      <color rgb="FF3271D2"/>
      <name val="Open Sans"/>
      <family val="2"/>
    </font>
    <font>
      <sz val="10"/>
      <name val="Arial"/>
    </font>
    <font>
      <b/>
      <sz val="11"/>
      <color rgb="FFFA621C"/>
      <name val="Open Sans"/>
      <family val="2"/>
    </font>
    <font>
      <sz val="11"/>
      <color rgb="FFFA621C"/>
      <name val="Open Sans"/>
      <family val="2"/>
    </font>
    <font>
      <b/>
      <sz val="12"/>
      <color theme="0"/>
      <name val="Open Sans"/>
      <family val="2"/>
    </font>
    <font>
      <sz val="12"/>
      <color rgb="FFC32838"/>
      <name val="Calibri"/>
      <family val="2"/>
      <scheme val="minor"/>
    </font>
    <font>
      <sz val="12"/>
      <color rgb="FFFA621C"/>
      <name val="Calibri"/>
      <family val="2"/>
      <scheme val="minor"/>
    </font>
    <font>
      <sz val="12"/>
      <color theme="0"/>
      <name val="Open Sans"/>
      <family val="2"/>
    </font>
    <font>
      <sz val="11"/>
      <color theme="0"/>
      <name val="Open Sans"/>
      <family val="2"/>
    </font>
    <font>
      <u/>
      <sz val="11"/>
      <color theme="0"/>
      <name val="Open Sans"/>
      <family val="2"/>
    </font>
    <font>
      <sz val="10"/>
      <color indexed="16"/>
      <name val="Open Sans"/>
      <family val="2"/>
    </font>
    <font>
      <b/>
      <sz val="10"/>
      <color indexed="16"/>
      <name val="Open Sans"/>
      <family val="2"/>
    </font>
    <font>
      <b/>
      <sz val="10"/>
      <color indexed="9"/>
      <name val="Open Sans"/>
      <family val="2"/>
    </font>
    <font>
      <sz val="12"/>
      <color indexed="16"/>
      <name val="Open Sans"/>
      <family val="2"/>
    </font>
    <font>
      <i/>
      <sz val="10"/>
      <color indexed="16"/>
      <name val="Open Sans"/>
      <family val="2"/>
    </font>
    <font>
      <sz val="12"/>
      <color indexed="9"/>
      <name val="Open Sans"/>
      <family val="2"/>
    </font>
    <font>
      <b/>
      <sz val="14"/>
      <color rgb="FFFFFFFF"/>
      <name val="Open Sans"/>
      <family val="2"/>
    </font>
    <font>
      <b/>
      <sz val="12"/>
      <color indexed="16"/>
      <name val="Open Sans"/>
      <family val="2"/>
    </font>
    <font>
      <sz val="8"/>
      <color indexed="16"/>
      <name val="Open Sans"/>
      <family val="2"/>
    </font>
    <font>
      <sz val="7"/>
      <color indexed="16"/>
      <name val="Open Sans"/>
      <family val="2"/>
    </font>
    <font>
      <b/>
      <sz val="10"/>
      <color rgb="FF003868"/>
      <name val="Open Sans"/>
      <family val="2"/>
    </font>
    <font>
      <b/>
      <sz val="10"/>
      <color rgb="FF003769"/>
      <name val="Open Sans"/>
      <family val="2"/>
    </font>
    <font>
      <b/>
      <u val="singleAccounting"/>
      <sz val="10"/>
      <color rgb="FF003769"/>
      <name val="Open Sans"/>
      <family val="2"/>
    </font>
    <font>
      <sz val="8"/>
      <color rgb="FF000000"/>
      <name val="Open Sans"/>
      <family val="2"/>
    </font>
    <font>
      <b/>
      <sz val="10"/>
      <color indexed="53"/>
      <name val="Open Sans"/>
      <family val="2"/>
    </font>
    <font>
      <b/>
      <sz val="10"/>
      <name val="Open Sans"/>
      <family val="2"/>
    </font>
    <font>
      <b/>
      <sz val="10"/>
      <color rgb="FF000000"/>
      <name val="Open Sans"/>
      <family val="2"/>
    </font>
    <font>
      <sz val="10"/>
      <name val="Open Sans"/>
      <family val="2"/>
    </font>
    <font>
      <sz val="10"/>
      <color rgb="FF0000FF"/>
      <name val="Open Sans"/>
      <family val="2"/>
    </font>
    <font>
      <sz val="10"/>
      <color rgb="FF000000"/>
      <name val="Open Sans"/>
      <family val="2"/>
    </font>
    <font>
      <i/>
      <u/>
      <sz val="10"/>
      <name val="Open Sans"/>
      <family val="2"/>
    </font>
    <font>
      <sz val="10"/>
      <color indexed="21"/>
      <name val="Open Sans"/>
      <family val="2"/>
    </font>
    <font>
      <i/>
      <sz val="10"/>
      <name val="Open Sans"/>
      <family val="2"/>
    </font>
    <font>
      <i/>
      <sz val="10"/>
      <color rgb="FF000000"/>
      <name val="Open Sans"/>
      <family val="2"/>
    </font>
    <font>
      <i/>
      <sz val="10"/>
      <color rgb="FFC00000"/>
      <name val="Open Sans"/>
      <family val="2"/>
    </font>
    <font>
      <i/>
      <sz val="8"/>
      <color indexed="60"/>
      <name val="Open Sans"/>
      <family val="2"/>
    </font>
    <font>
      <i/>
      <sz val="12"/>
      <color rgb="FFC00000"/>
      <name val="Open Sans"/>
      <family val="2"/>
    </font>
    <font>
      <i/>
      <sz val="10"/>
      <color rgb="FFC23841"/>
      <name val="Open Sans"/>
      <family val="2"/>
    </font>
    <font>
      <sz val="10"/>
      <color rgb="FFC00000"/>
      <name val="Open Sans"/>
      <family val="2"/>
    </font>
    <font>
      <b/>
      <sz val="10"/>
      <color indexed="8"/>
      <name val="Open Sans"/>
      <family val="2"/>
    </font>
    <font>
      <u/>
      <sz val="10"/>
      <name val="Open Sans"/>
      <family val="2"/>
    </font>
    <font>
      <b/>
      <i/>
      <sz val="10"/>
      <color rgb="FFC00000"/>
      <name val="Open Sans"/>
      <family val="2"/>
    </font>
    <font>
      <b/>
      <sz val="10"/>
      <color rgb="FF1F497D"/>
      <name val="Open Sans"/>
      <family val="2"/>
    </font>
    <font>
      <sz val="10"/>
      <color rgb="FF003769"/>
      <name val="Open Sans"/>
      <family val="2"/>
    </font>
    <font>
      <b/>
      <sz val="10"/>
      <color rgb="FFC00000"/>
      <name val="Open Sans"/>
      <family val="2"/>
    </font>
    <font>
      <i/>
      <u/>
      <sz val="10"/>
      <color indexed="16"/>
      <name val="Open Sans"/>
      <family val="2"/>
    </font>
    <font>
      <sz val="10"/>
      <color indexed="60"/>
      <name val="Open Sans"/>
      <family val="2"/>
    </font>
    <font>
      <b/>
      <u val="singleAccounting"/>
      <sz val="10"/>
      <color rgb="FF1F497D"/>
      <name val="Open Sans"/>
      <family val="2"/>
    </font>
    <font>
      <sz val="10"/>
      <color rgb="FF1F497D"/>
      <name val="Open Sans"/>
      <family val="2"/>
    </font>
    <font>
      <i/>
      <u/>
      <sz val="10"/>
      <color rgb="FF000000"/>
      <name val="Open Sans"/>
      <family val="2"/>
    </font>
    <font>
      <i/>
      <sz val="10"/>
      <color rgb="FF3271D2"/>
      <name val="Open Sans"/>
      <family val="2"/>
    </font>
    <font>
      <b/>
      <sz val="10"/>
      <color rgb="FF3271D2"/>
      <name val="Open Sans"/>
      <family val="2"/>
    </font>
    <font>
      <sz val="10"/>
      <color rgb="FF3271D2"/>
      <name val="Open Sans"/>
      <family val="2"/>
    </font>
  </fonts>
  <fills count="11">
    <fill>
      <patternFill patternType="none"/>
    </fill>
    <fill>
      <patternFill patternType="gray125"/>
    </fill>
    <fill>
      <patternFill patternType="solid">
        <fgColor rgb="FF7896AF"/>
        <bgColor indexed="64"/>
      </patternFill>
    </fill>
    <fill>
      <patternFill patternType="solid">
        <fgColor rgb="FFDCE6EB"/>
        <bgColor indexed="64"/>
      </patternFill>
    </fill>
    <fill>
      <patternFill patternType="solid">
        <fgColor rgb="FFFFF5D2"/>
        <bgColor indexed="64"/>
      </patternFill>
    </fill>
    <fill>
      <patternFill patternType="solid">
        <fgColor rgb="FFEBEBE6"/>
        <bgColor indexed="64"/>
      </patternFill>
    </fill>
    <fill>
      <patternFill patternType="solid">
        <fgColor theme="0"/>
        <bgColor indexed="64"/>
      </patternFill>
    </fill>
    <fill>
      <patternFill patternType="solid">
        <fgColor indexed="51"/>
        <bgColor indexed="64"/>
      </patternFill>
    </fill>
    <fill>
      <patternFill patternType="solid">
        <fgColor rgb="FFF2F2F2"/>
      </patternFill>
    </fill>
    <fill>
      <patternFill patternType="solid">
        <fgColor theme="7" tint="0.59999389629810485"/>
        <bgColor indexed="65"/>
      </patternFill>
    </fill>
    <fill>
      <patternFill patternType="solid">
        <fgColor rgb="FF264E58"/>
        <bgColor indexed="64"/>
      </patternFill>
    </fill>
  </fills>
  <borders count="28">
    <border>
      <left/>
      <right/>
      <top/>
      <bottom/>
      <diagonal/>
    </border>
    <border>
      <left/>
      <right/>
      <top/>
      <bottom style="thin">
        <color indexed="23"/>
      </bottom>
      <diagonal/>
    </border>
    <border>
      <left/>
      <right/>
      <top style="thin">
        <color rgb="FF000000"/>
      </top>
      <bottom/>
      <diagonal/>
    </border>
    <border>
      <left/>
      <right/>
      <top/>
      <bottom style="medium">
        <color rgb="FF000000"/>
      </bottom>
      <diagonal/>
    </border>
    <border>
      <left/>
      <right/>
      <top style="hair">
        <color rgb="FF000000"/>
      </top>
      <bottom style="thin">
        <color rgb="FF000000"/>
      </bottom>
      <diagonal/>
    </border>
    <border>
      <left/>
      <right/>
      <top style="thick">
        <color theme="0"/>
      </top>
      <bottom/>
      <diagonal/>
    </border>
    <border>
      <left/>
      <right/>
      <top/>
      <bottom style="thick">
        <color theme="4"/>
      </bottom>
      <diagonal/>
    </border>
    <border>
      <left/>
      <right/>
      <top style="thin">
        <color auto="1"/>
      </top>
      <bottom/>
      <diagonal/>
    </border>
    <border>
      <left/>
      <right/>
      <top/>
      <bottom style="thin">
        <color rgb="FF000000"/>
      </bottom>
      <diagonal/>
    </border>
    <border>
      <left style="thin">
        <color rgb="FFB4C3D2"/>
      </left>
      <right/>
      <top style="thin">
        <color rgb="FFB4C3D2"/>
      </top>
      <bottom style="thin">
        <color rgb="FFB4C3D2"/>
      </bottom>
      <diagonal/>
    </border>
    <border>
      <left/>
      <right/>
      <top style="thin">
        <color rgb="FFB4C3D2"/>
      </top>
      <bottom style="thin">
        <color rgb="FFB4C3D2"/>
      </bottom>
      <diagonal/>
    </border>
    <border>
      <left/>
      <right style="thin">
        <color rgb="FFB4C3D2"/>
      </right>
      <top style="thin">
        <color rgb="FFB4C3D2"/>
      </top>
      <bottom style="thin">
        <color rgb="FFB4C3D2"/>
      </bottom>
      <diagonal/>
    </border>
    <border>
      <left/>
      <right/>
      <top/>
      <bottom style="medium">
        <color rgb="FF235A8C"/>
      </bottom>
      <diagonal/>
    </border>
    <border>
      <left/>
      <right/>
      <top style="hair">
        <color auto="1"/>
      </top>
      <bottom/>
      <diagonal/>
    </border>
    <border>
      <left style="thin">
        <color indexed="45"/>
      </left>
      <right/>
      <top style="thin">
        <color indexed="45"/>
      </top>
      <bottom style="thin">
        <color indexed="45"/>
      </bottom>
      <diagonal/>
    </border>
    <border>
      <left/>
      <right/>
      <top style="thin">
        <color indexed="45"/>
      </top>
      <bottom style="thin">
        <color indexed="45"/>
      </bottom>
      <diagonal/>
    </border>
    <border>
      <left/>
      <right style="thin">
        <color indexed="45"/>
      </right>
      <top style="thin">
        <color indexed="45"/>
      </top>
      <bottom style="thin">
        <color indexed="45"/>
      </bottom>
      <diagonal/>
    </border>
    <border>
      <left/>
      <right/>
      <top/>
      <bottom style="medium">
        <color theme="4" tint="-0.24994659260841701"/>
      </bottom>
      <diagonal/>
    </border>
    <border>
      <left style="thin">
        <color rgb="FF3F3F3F"/>
      </left>
      <right style="thin">
        <color rgb="FF3F3F3F"/>
      </right>
      <top style="thin">
        <color rgb="FF3F3F3F"/>
      </top>
      <bottom style="thin">
        <color rgb="FF3F3F3F"/>
      </bottom>
      <diagonal/>
    </border>
    <border>
      <left style="thick">
        <color rgb="FF132E57"/>
      </left>
      <right/>
      <top style="thick">
        <color rgb="FF132E57"/>
      </top>
      <bottom/>
      <diagonal/>
    </border>
    <border>
      <left/>
      <right/>
      <top style="thick">
        <color rgb="FF132E57"/>
      </top>
      <bottom/>
      <diagonal/>
    </border>
    <border>
      <left/>
      <right style="thick">
        <color rgb="FF132E57"/>
      </right>
      <top style="thick">
        <color rgb="FF132E57"/>
      </top>
      <bottom/>
      <diagonal/>
    </border>
    <border>
      <left style="thick">
        <color rgb="FF132E57"/>
      </left>
      <right/>
      <top/>
      <bottom/>
      <diagonal/>
    </border>
    <border>
      <left/>
      <right style="thick">
        <color rgb="FF132E57"/>
      </right>
      <top/>
      <bottom/>
      <diagonal/>
    </border>
    <border>
      <left/>
      <right/>
      <top/>
      <bottom style="thin">
        <color indexed="64"/>
      </bottom>
      <diagonal/>
    </border>
    <border>
      <left style="thick">
        <color rgb="FF132E57"/>
      </left>
      <right/>
      <top/>
      <bottom style="thick">
        <color rgb="FF132E57"/>
      </bottom>
      <diagonal/>
    </border>
    <border>
      <left/>
      <right/>
      <top/>
      <bottom style="thick">
        <color rgb="FF132E57"/>
      </bottom>
      <diagonal/>
    </border>
    <border>
      <left/>
      <right style="thick">
        <color rgb="FF132E57"/>
      </right>
      <top/>
      <bottom style="thick">
        <color rgb="FF132E57"/>
      </bottom>
      <diagonal/>
    </border>
  </borders>
  <cellStyleXfs count="26">
    <xf numFmtId="0" fontId="0" fillId="0" borderId="0"/>
    <xf numFmtId="0" fontId="8" fillId="0" borderId="0" applyFont="0" applyFill="0" applyBorder="0" applyAlignment="0" applyProtection="0"/>
    <xf numFmtId="0" fontId="7" fillId="0" borderId="0" applyFont="0" applyFill="0" applyBorder="0" applyAlignment="0" applyProtection="0"/>
    <xf numFmtId="0" fontId="9" fillId="0" borderId="0" applyFont="0" applyFill="0" applyBorder="0" applyAlignment="0" applyProtection="0"/>
    <xf numFmtId="0" fontId="10" fillId="0" borderId="0" applyFont="0" applyFill="0" applyBorder="0" applyAlignment="0" applyProtection="0"/>
    <xf numFmtId="0" fontId="9" fillId="0" borderId="0" applyFont="0" applyFill="0" applyBorder="0" applyAlignment="0" applyProtection="0"/>
    <xf numFmtId="0" fontId="10" fillId="0" borderId="0" applyFont="0" applyFill="0" applyBorder="0" applyAlignment="0" applyProtection="0"/>
    <xf numFmtId="0" fontId="4" fillId="0" borderId="0"/>
    <xf numFmtId="0" fontId="10" fillId="0" borderId="0"/>
    <xf numFmtId="0" fontId="11" fillId="0" borderId="0"/>
    <xf numFmtId="0" fontId="11" fillId="0" borderId="0"/>
    <xf numFmtId="0" fontId="9" fillId="0" borderId="0"/>
    <xf numFmtId="0" fontId="10" fillId="0" borderId="0"/>
    <xf numFmtId="0" fontId="9" fillId="0" borderId="0"/>
    <xf numFmtId="0" fontId="10" fillId="0" borderId="0"/>
    <xf numFmtId="0" fontId="12" fillId="0" borderId="0"/>
    <xf numFmtId="0" fontId="14" fillId="0" borderId="6" applyNumberFormat="0" applyFill="0" applyAlignment="0" applyProtection="0"/>
    <xf numFmtId="41" fontId="3" fillId="0" borderId="0" applyFont="0" applyFill="0" applyBorder="0" applyAlignment="0" applyProtection="0"/>
    <xf numFmtId="42" fontId="3" fillId="0" borderId="0" applyFont="0" applyFill="0" applyBorder="0" applyAlignment="0" applyProtection="0"/>
    <xf numFmtId="0" fontId="15" fillId="8" borderId="18" applyNumberFormat="0" applyAlignment="0" applyProtection="0"/>
    <xf numFmtId="0" fontId="2" fillId="9" borderId="0" applyNumberFormat="0" applyBorder="0" applyAlignment="0" applyProtection="0"/>
    <xf numFmtId="0" fontId="2" fillId="0" borderId="0"/>
    <xf numFmtId="0" fontId="4" fillId="0" borderId="0"/>
    <xf numFmtId="0" fontId="21" fillId="0" borderId="0" applyNumberFormat="0" applyFill="0" applyBorder="0" applyAlignment="0" applyProtection="0"/>
    <xf numFmtId="0" fontId="23" fillId="0" borderId="0"/>
    <xf numFmtId="0" fontId="21" fillId="0" borderId="0" applyNumberFormat="0" applyFill="0" applyBorder="0" applyAlignment="0" applyProtection="0"/>
  </cellStyleXfs>
  <cellXfs count="228">
    <xf numFmtId="0" fontId="0" fillId="0" borderId="0" xfId="0"/>
    <xf numFmtId="0" fontId="13" fillId="0" borderId="0" xfId="0" applyFont="1" applyAlignment="1">
      <alignment vertical="center"/>
    </xf>
    <xf numFmtId="0" fontId="17" fillId="0" borderId="0" xfId="21" applyFont="1"/>
    <xf numFmtId="0" fontId="2" fillId="0" borderId="0" xfId="21"/>
    <xf numFmtId="0" fontId="17" fillId="10" borderId="19" xfId="21" applyFont="1" applyFill="1" applyBorder="1"/>
    <xf numFmtId="0" fontId="17" fillId="10" borderId="20" xfId="21" applyFont="1" applyFill="1" applyBorder="1"/>
    <xf numFmtId="0" fontId="17" fillId="10" borderId="21" xfId="21" applyFont="1" applyFill="1" applyBorder="1"/>
    <xf numFmtId="0" fontId="17" fillId="10" borderId="22" xfId="21" applyFont="1" applyFill="1" applyBorder="1"/>
    <xf numFmtId="0" fontId="17" fillId="10" borderId="0" xfId="21" applyFont="1" applyFill="1"/>
    <xf numFmtId="0" fontId="17" fillId="10" borderId="23" xfId="21" applyFont="1" applyFill="1" applyBorder="1"/>
    <xf numFmtId="0" fontId="18" fillId="0" borderId="0" xfId="21" applyFont="1"/>
    <xf numFmtId="0" fontId="17" fillId="0" borderId="22" xfId="21" applyFont="1" applyBorder="1"/>
    <xf numFmtId="0" fontId="17" fillId="0" borderId="23" xfId="21" applyFont="1" applyBorder="1"/>
    <xf numFmtId="0" fontId="19" fillId="0" borderId="0" xfId="21" applyFont="1" applyProtection="1">
      <protection locked="0"/>
    </xf>
    <xf numFmtId="0" fontId="20" fillId="0" borderId="0" xfId="21" applyFont="1" applyAlignment="1">
      <alignment horizontal="right"/>
    </xf>
    <xf numFmtId="0" fontId="17" fillId="0" borderId="0" xfId="21" applyFont="1" applyProtection="1">
      <protection locked="0"/>
    </xf>
    <xf numFmtId="0" fontId="4" fillId="0" borderId="0" xfId="22"/>
    <xf numFmtId="0" fontId="20" fillId="0" borderId="24" xfId="21" applyFont="1" applyBorder="1" applyProtection="1">
      <protection locked="0"/>
    </xf>
    <xf numFmtId="0" fontId="1" fillId="0" borderId="0" xfId="21" applyFont="1"/>
    <xf numFmtId="183" fontId="22" fillId="0" borderId="0" xfId="23" applyNumberFormat="1" applyFont="1" applyFill="1" applyBorder="1" applyProtection="1">
      <protection locked="0"/>
    </xf>
    <xf numFmtId="0" fontId="24" fillId="0" borderId="0" xfId="21" applyFont="1"/>
    <xf numFmtId="0" fontId="25" fillId="0" borderId="0" xfId="21" applyFont="1"/>
    <xf numFmtId="0" fontId="26" fillId="10" borderId="0" xfId="21" applyFont="1" applyFill="1"/>
    <xf numFmtId="0" fontId="1" fillId="10" borderId="0" xfId="21" applyFont="1" applyFill="1"/>
    <xf numFmtId="0" fontId="27" fillId="0" borderId="0" xfId="21" applyFont="1"/>
    <xf numFmtId="0" fontId="28" fillId="0" borderId="0" xfId="21" applyFont="1"/>
    <xf numFmtId="0" fontId="29" fillId="10" borderId="0" xfId="21" applyFont="1" applyFill="1"/>
    <xf numFmtId="0" fontId="30" fillId="10" borderId="0" xfId="21" applyFont="1" applyFill="1"/>
    <xf numFmtId="183" fontId="30" fillId="10" borderId="0" xfId="21" applyNumberFormat="1" applyFont="1" applyFill="1"/>
    <xf numFmtId="0" fontId="16" fillId="10" borderId="0" xfId="21" applyFont="1" applyFill="1"/>
    <xf numFmtId="183" fontId="31" fillId="10" borderId="0" xfId="23" applyNumberFormat="1" applyFont="1" applyFill="1"/>
    <xf numFmtId="0" fontId="17" fillId="0" borderId="25" xfId="21" applyFont="1" applyBorder="1"/>
    <xf numFmtId="0" fontId="17" fillId="0" borderId="26" xfId="21" applyFont="1" applyBorder="1"/>
    <xf numFmtId="0" fontId="17" fillId="0" borderId="27" xfId="21" applyFont="1" applyBorder="1"/>
    <xf numFmtId="0" fontId="32" fillId="0" borderId="0" xfId="0" applyFont="1" applyAlignment="1">
      <alignment vertical="center"/>
    </xf>
    <xf numFmtId="0" fontId="33" fillId="0" borderId="0" xfId="0" applyFont="1" applyAlignment="1">
      <alignment vertical="center"/>
    </xf>
    <xf numFmtId="166" fontId="34" fillId="0" borderId="0" xfId="0" applyNumberFormat="1" applyFont="1" applyAlignment="1">
      <alignment horizontal="right" vertical="center"/>
    </xf>
    <xf numFmtId="0" fontId="35" fillId="0" borderId="0" xfId="0" applyFont="1" applyAlignment="1">
      <alignment vertical="center"/>
    </xf>
    <xf numFmtId="0" fontId="36" fillId="0" borderId="0" xfId="0" applyFont="1" applyAlignment="1">
      <alignment vertical="center"/>
    </xf>
    <xf numFmtId="166" fontId="37" fillId="0" borderId="0" xfId="0" applyNumberFormat="1" applyFont="1" applyAlignment="1">
      <alignment horizontal="right" vertical="center"/>
    </xf>
    <xf numFmtId="169" fontId="36" fillId="0" borderId="0" xfId="0" applyNumberFormat="1" applyFont="1" applyAlignment="1">
      <alignment horizontal="right" vertical="center"/>
    </xf>
    <xf numFmtId="0" fontId="32" fillId="0" borderId="5" xfId="0" applyFont="1" applyBorder="1" applyAlignment="1">
      <alignment horizontal="center" vertical="center"/>
    </xf>
    <xf numFmtId="0" fontId="38" fillId="2" borderId="5" xfId="0" applyFont="1" applyFill="1" applyBorder="1" applyAlignment="1">
      <alignment vertical="center"/>
    </xf>
    <xf numFmtId="0" fontId="39" fillId="2" borderId="5" xfId="0" applyFont="1" applyFill="1" applyBorder="1" applyAlignment="1">
      <alignment vertical="center"/>
    </xf>
    <xf numFmtId="0" fontId="32" fillId="2" borderId="5" xfId="0" applyFont="1" applyFill="1" applyBorder="1" applyAlignment="1">
      <alignment vertical="center"/>
    </xf>
    <xf numFmtId="0" fontId="40" fillId="0" borderId="0" xfId="0" applyFont="1" applyAlignment="1">
      <alignment vertical="center"/>
    </xf>
    <xf numFmtId="0" fontId="41" fillId="0" borderId="0" xfId="0" applyFont="1" applyAlignment="1">
      <alignment vertical="center"/>
    </xf>
    <xf numFmtId="0" fontId="42" fillId="0" borderId="0" xfId="0" applyFont="1" applyAlignment="1">
      <alignment horizontal="left" vertical="center"/>
    </xf>
    <xf numFmtId="0" fontId="42" fillId="0" borderId="0" xfId="0" applyFont="1" applyAlignment="1">
      <alignment horizontal="center" vertical="center"/>
    </xf>
    <xf numFmtId="0" fontId="43" fillId="0" borderId="0" xfId="0" applyFont="1" applyAlignment="1">
      <alignment horizontal="center" vertical="center"/>
    </xf>
    <xf numFmtId="49" fontId="44" fillId="0" borderId="0" xfId="0" applyNumberFormat="1" applyFont="1" applyAlignment="1">
      <alignment horizontal="centerContinuous" vertical="center"/>
    </xf>
    <xf numFmtId="0" fontId="45" fillId="0" borderId="12" xfId="0" applyFont="1" applyBorder="1" applyAlignment="1">
      <alignment horizontal="left" vertical="center"/>
    </xf>
    <xf numFmtId="0" fontId="42" fillId="0" borderId="12" xfId="0" applyFont="1" applyBorder="1" applyAlignment="1">
      <alignment horizontal="left" vertical="center"/>
    </xf>
    <xf numFmtId="175" fontId="42" fillId="0" borderId="12" xfId="0" applyNumberFormat="1" applyFont="1" applyBorder="1" applyAlignment="1">
      <alignment horizontal="center" vertical="center"/>
    </xf>
    <xf numFmtId="176" fontId="43" fillId="0" borderId="12" xfId="0" applyNumberFormat="1" applyFont="1" applyBorder="1" applyAlignment="1">
      <alignment horizontal="center" vertical="center"/>
    </xf>
    <xf numFmtId="0" fontId="46" fillId="0" borderId="0" xfId="0" applyFont="1" applyAlignment="1">
      <alignment horizontal="left" vertical="center"/>
    </xf>
    <xf numFmtId="175" fontId="46" fillId="0" borderId="0" xfId="0" applyNumberFormat="1" applyFont="1" applyAlignment="1">
      <alignment horizontal="center" vertical="center"/>
    </xf>
    <xf numFmtId="179" fontId="47" fillId="0" borderId="0" xfId="0" applyNumberFormat="1" applyFont="1" applyAlignment="1">
      <alignment vertical="center"/>
    </xf>
    <xf numFmtId="178" fontId="48" fillId="0" borderId="0" xfId="0" applyNumberFormat="1" applyFont="1" applyAlignment="1">
      <alignment vertical="center"/>
    </xf>
    <xf numFmtId="177" fontId="49" fillId="0" borderId="0" xfId="0" applyNumberFormat="1" applyFont="1" applyAlignment="1">
      <alignment vertical="center"/>
    </xf>
    <xf numFmtId="168" fontId="51" fillId="0" borderId="0" xfId="0" applyNumberFormat="1" applyFont="1" applyAlignment="1">
      <alignment vertical="center"/>
    </xf>
    <xf numFmtId="0" fontId="49" fillId="0" borderId="13" xfId="0" applyFont="1" applyBorder="1" applyAlignment="1">
      <alignment vertical="center"/>
    </xf>
    <xf numFmtId="168" fontId="51" fillId="0" borderId="13" xfId="0" applyNumberFormat="1" applyFont="1" applyBorder="1" applyAlignment="1">
      <alignment vertical="center"/>
    </xf>
    <xf numFmtId="0" fontId="47" fillId="0" borderId="13" xfId="0" applyFont="1" applyBorder="1" applyAlignment="1">
      <alignment vertical="center"/>
    </xf>
    <xf numFmtId="168" fontId="48" fillId="0" borderId="13" xfId="0" applyNumberFormat="1" applyFont="1" applyBorder="1" applyAlignment="1">
      <alignment vertical="center"/>
    </xf>
    <xf numFmtId="0" fontId="47" fillId="0" borderId="0" xfId="0" applyFont="1" applyAlignment="1">
      <alignment vertical="center"/>
    </xf>
    <xf numFmtId="168" fontId="48" fillId="0" borderId="0" xfId="0" applyNumberFormat="1" applyFont="1" applyAlignment="1">
      <alignment vertical="center"/>
    </xf>
    <xf numFmtId="0" fontId="52" fillId="0" borderId="0" xfId="0" applyFont="1" applyAlignment="1">
      <alignment vertical="center"/>
    </xf>
    <xf numFmtId="177" fontId="49" fillId="0" borderId="0" xfId="0" applyNumberFormat="1" applyFont="1" applyAlignment="1">
      <alignment horizontal="left" vertical="center" indent="1"/>
    </xf>
    <xf numFmtId="0" fontId="32" fillId="0" borderId="13" xfId="0" applyFont="1" applyBorder="1" applyAlignment="1">
      <alignment horizontal="left" vertical="center"/>
    </xf>
    <xf numFmtId="168" fontId="53" fillId="0" borderId="13" xfId="0" applyNumberFormat="1" applyFont="1" applyBorder="1" applyAlignment="1">
      <alignment horizontal="right" vertical="center"/>
    </xf>
    <xf numFmtId="168" fontId="51" fillId="0" borderId="13" xfId="0" applyNumberFormat="1" applyFont="1" applyBorder="1" applyAlignment="1">
      <alignment horizontal="right" vertical="center"/>
    </xf>
    <xf numFmtId="0" fontId="49" fillId="0" borderId="0" xfId="0" applyFont="1" applyAlignment="1">
      <alignment vertical="center"/>
    </xf>
    <xf numFmtId="165" fontId="47" fillId="0" borderId="13" xfId="0" applyNumberFormat="1" applyFont="1" applyBorder="1" applyAlignment="1">
      <alignment vertical="center"/>
    </xf>
    <xf numFmtId="165" fontId="47" fillId="0" borderId="7" xfId="0" applyNumberFormat="1" applyFont="1" applyBorder="1" applyAlignment="1">
      <alignment vertical="center"/>
    </xf>
    <xf numFmtId="178" fontId="48" fillId="0" borderId="7" xfId="0" applyNumberFormat="1" applyFont="1" applyBorder="1" applyAlignment="1">
      <alignment vertical="center"/>
    </xf>
    <xf numFmtId="0" fontId="51" fillId="0" borderId="0" xfId="0" applyFont="1" applyAlignment="1">
      <alignment vertical="center"/>
    </xf>
    <xf numFmtId="178" fontId="51" fillId="0" borderId="0" xfId="0" applyNumberFormat="1" applyFont="1" applyAlignment="1">
      <alignment vertical="center"/>
    </xf>
    <xf numFmtId="172" fontId="48" fillId="0" borderId="0" xfId="0" applyNumberFormat="1" applyFont="1" applyAlignment="1">
      <alignment vertical="center"/>
    </xf>
    <xf numFmtId="179" fontId="49" fillId="0" borderId="0" xfId="0" applyNumberFormat="1" applyFont="1" applyAlignment="1">
      <alignment vertical="center"/>
    </xf>
    <xf numFmtId="172" fontId="51" fillId="0" borderId="0" xfId="0" applyNumberFormat="1" applyFont="1" applyAlignment="1">
      <alignment vertical="center"/>
    </xf>
    <xf numFmtId="178" fontId="50" fillId="0" borderId="0" xfId="0" applyNumberFormat="1" applyFont="1" applyAlignment="1">
      <alignment vertical="center"/>
    </xf>
    <xf numFmtId="0" fontId="47" fillId="3" borderId="9" xfId="0" applyFont="1" applyFill="1" applyBorder="1" applyAlignment="1">
      <alignment horizontal="left" vertical="center"/>
    </xf>
    <xf numFmtId="0" fontId="47" fillId="3" borderId="10" xfId="0" applyFont="1" applyFill="1" applyBorder="1" applyAlignment="1">
      <alignment horizontal="left" vertical="center" indent="1"/>
    </xf>
    <xf numFmtId="0" fontId="46" fillId="3" borderId="10" xfId="0" applyFont="1" applyFill="1" applyBorder="1" applyAlignment="1">
      <alignment horizontal="left" vertical="center"/>
    </xf>
    <xf numFmtId="0" fontId="46" fillId="3" borderId="11" xfId="0" applyFont="1" applyFill="1" applyBorder="1" applyAlignment="1">
      <alignment horizontal="left" vertical="center"/>
    </xf>
    <xf numFmtId="0" fontId="54" fillId="0" borderId="0" xfId="0" applyFont="1" applyAlignment="1">
      <alignment vertical="center"/>
    </xf>
    <xf numFmtId="164" fontId="55" fillId="0" borderId="0" xfId="0" applyNumberFormat="1" applyFont="1" applyAlignment="1">
      <alignment horizontal="right" vertical="center"/>
    </xf>
    <xf numFmtId="164" fontId="36" fillId="0" borderId="0" xfId="0" applyNumberFormat="1" applyFont="1" applyAlignment="1">
      <alignment horizontal="right" vertical="center"/>
    </xf>
    <xf numFmtId="164" fontId="56" fillId="0" borderId="0" xfId="0" applyNumberFormat="1" applyFont="1" applyAlignment="1">
      <alignment horizontal="right" vertical="center"/>
    </xf>
    <xf numFmtId="0" fontId="32" fillId="0" borderId="3" xfId="0" applyFont="1" applyBorder="1" applyAlignment="1">
      <alignment vertical="center"/>
    </xf>
    <xf numFmtId="0" fontId="32" fillId="0" borderId="0" xfId="0" applyFont="1" applyAlignment="1">
      <alignment horizontal="left" vertical="center" indent="1"/>
    </xf>
    <xf numFmtId="171" fontId="53" fillId="0" borderId="0" xfId="0" applyNumberFormat="1" applyFont="1" applyAlignment="1">
      <alignment horizontal="right" vertical="center"/>
    </xf>
    <xf numFmtId="171" fontId="32" fillId="0" borderId="0" xfId="0" applyNumberFormat="1" applyFont="1" applyAlignment="1">
      <alignment horizontal="right" vertical="center"/>
    </xf>
    <xf numFmtId="168" fontId="51" fillId="0" borderId="0" xfId="0" applyNumberFormat="1" applyFont="1" applyAlignment="1">
      <alignment horizontal="right" vertical="center"/>
    </xf>
    <xf numFmtId="0" fontId="49" fillId="0" borderId="0" xfId="0" applyFont="1" applyAlignment="1">
      <alignment horizontal="left" vertical="center" indent="1"/>
    </xf>
    <xf numFmtId="168" fontId="32" fillId="0" borderId="13" xfId="0" applyNumberFormat="1" applyFont="1" applyBorder="1" applyAlignment="1">
      <alignment horizontal="right" vertical="center"/>
    </xf>
    <xf numFmtId="0" fontId="32" fillId="0" borderId="0" xfId="0" applyFont="1" applyAlignment="1">
      <alignment horizontal="left" vertical="center"/>
    </xf>
    <xf numFmtId="168" fontId="53" fillId="0" borderId="0" xfId="0" applyNumberFormat="1" applyFont="1" applyAlignment="1">
      <alignment horizontal="right" vertical="center"/>
    </xf>
    <xf numFmtId="168" fontId="32" fillId="0" borderId="0" xfId="0" applyNumberFormat="1" applyFont="1" applyAlignment="1">
      <alignment horizontal="right" vertical="center"/>
    </xf>
    <xf numFmtId="0" fontId="32" fillId="0" borderId="1" xfId="0" applyFont="1" applyBorder="1" applyAlignment="1">
      <alignment vertical="center"/>
    </xf>
    <xf numFmtId="168" fontId="53" fillId="0" borderId="1" xfId="0" applyNumberFormat="1" applyFont="1" applyBorder="1" applyAlignment="1">
      <alignment horizontal="right" vertical="center"/>
    </xf>
    <xf numFmtId="0" fontId="33" fillId="0" borderId="7" xfId="0" applyFont="1" applyBorder="1" applyAlignment="1">
      <alignment horizontal="left" vertical="center"/>
    </xf>
    <xf numFmtId="171" fontId="33" fillId="0" borderId="7" xfId="0" applyNumberFormat="1" applyFont="1" applyBorder="1" applyAlignment="1">
      <alignment horizontal="right" vertical="center"/>
    </xf>
    <xf numFmtId="171" fontId="51" fillId="0" borderId="0" xfId="0" applyNumberFormat="1" applyFont="1" applyAlignment="1">
      <alignment horizontal="right" vertical="center"/>
    </xf>
    <xf numFmtId="0" fontId="51" fillId="0" borderId="0" xfId="0" applyFont="1" applyAlignment="1">
      <alignment horizontal="left" vertical="center" indent="1"/>
    </xf>
    <xf numFmtId="168" fontId="51" fillId="6" borderId="0" xfId="0" applyNumberFormat="1" applyFont="1" applyFill="1" applyAlignment="1">
      <alignment horizontal="right" vertical="center"/>
    </xf>
    <xf numFmtId="168" fontId="32" fillId="6" borderId="0" xfId="0" applyNumberFormat="1" applyFont="1" applyFill="1" applyAlignment="1">
      <alignment horizontal="right" vertical="center"/>
    </xf>
    <xf numFmtId="171" fontId="32" fillId="0" borderId="13" xfId="0" applyNumberFormat="1" applyFont="1" applyBorder="1" applyAlignment="1">
      <alignment horizontal="right" vertical="center"/>
    </xf>
    <xf numFmtId="0" fontId="57" fillId="0" borderId="0" xfId="0" applyFont="1" applyAlignment="1">
      <alignment horizontal="left" vertical="center" indent="1"/>
    </xf>
    <xf numFmtId="0" fontId="57" fillId="0" borderId="0" xfId="0" applyFont="1" applyAlignment="1">
      <alignment horizontal="left" vertical="center"/>
    </xf>
    <xf numFmtId="168" fontId="57" fillId="0" borderId="0" xfId="0" applyNumberFormat="1" applyFont="1" applyAlignment="1">
      <alignment horizontal="right" vertical="center"/>
    </xf>
    <xf numFmtId="0" fontId="58" fillId="0" borderId="0" xfId="0" applyFont="1" applyAlignment="1">
      <alignment vertical="center"/>
    </xf>
    <xf numFmtId="0" fontId="56" fillId="0" borderId="0" xfId="0" applyFont="1" applyAlignment="1">
      <alignment horizontal="left" vertical="center"/>
    </xf>
    <xf numFmtId="168" fontId="56" fillId="0" borderId="0" xfId="0" applyNumberFormat="1" applyFont="1" applyAlignment="1">
      <alignment horizontal="right" vertical="center"/>
    </xf>
    <xf numFmtId="173" fontId="56" fillId="0" borderId="0" xfId="0" applyNumberFormat="1" applyFont="1" applyAlignment="1">
      <alignment horizontal="right" vertical="center"/>
    </xf>
    <xf numFmtId="0" fontId="56" fillId="0" borderId="0" xfId="0" applyFont="1" applyAlignment="1">
      <alignment vertical="center"/>
    </xf>
    <xf numFmtId="0" fontId="49" fillId="0" borderId="3" xfId="0" applyFont="1" applyBorder="1" applyAlignment="1">
      <alignment vertical="center"/>
    </xf>
    <xf numFmtId="164" fontId="59" fillId="0" borderId="3" xfId="0" applyNumberFormat="1" applyFont="1" applyBorder="1" applyAlignment="1">
      <alignment vertical="center"/>
    </xf>
    <xf numFmtId="0" fontId="46" fillId="0" borderId="0" xfId="0" applyFont="1" applyAlignment="1">
      <alignment vertical="center"/>
    </xf>
    <xf numFmtId="178" fontId="49" fillId="0" borderId="0" xfId="0" applyNumberFormat="1" applyFont="1" applyAlignment="1">
      <alignment vertical="center"/>
    </xf>
    <xf numFmtId="168" fontId="49" fillId="0" borderId="0" xfId="0" applyNumberFormat="1" applyFont="1" applyAlignment="1">
      <alignment vertical="center"/>
    </xf>
    <xf numFmtId="168" fontId="49" fillId="0" borderId="13" xfId="0" applyNumberFormat="1" applyFont="1" applyBorder="1" applyAlignment="1">
      <alignment vertical="center"/>
    </xf>
    <xf numFmtId="0" fontId="49" fillId="0" borderId="4" xfId="0" applyFont="1" applyBorder="1" applyAlignment="1">
      <alignment vertical="center"/>
    </xf>
    <xf numFmtId="168" fontId="49" fillId="0" borderId="4" xfId="0" applyNumberFormat="1" applyFont="1" applyBorder="1" applyAlignment="1">
      <alignment vertical="center"/>
    </xf>
    <xf numFmtId="0" fontId="47" fillId="0" borderId="2" xfId="0" applyFont="1" applyBorder="1" applyAlignment="1">
      <alignment vertical="center"/>
    </xf>
    <xf numFmtId="178" fontId="48" fillId="0" borderId="2" xfId="0" applyNumberFormat="1" applyFont="1" applyBorder="1" applyAlignment="1">
      <alignment vertical="center"/>
    </xf>
    <xf numFmtId="0" fontId="46" fillId="0" borderId="3" xfId="0" applyFont="1" applyBorder="1" applyAlignment="1">
      <alignment vertical="center"/>
    </xf>
    <xf numFmtId="171" fontId="60" fillId="0" borderId="0" xfId="0" applyNumberFormat="1" applyFont="1" applyAlignment="1">
      <alignment vertical="center"/>
    </xf>
    <xf numFmtId="171" fontId="32" fillId="0" borderId="0" xfId="0" applyNumberFormat="1" applyFont="1" applyAlignment="1">
      <alignment vertical="center"/>
    </xf>
    <xf numFmtId="168" fontId="60" fillId="0" borderId="0" xfId="0" applyNumberFormat="1" applyFont="1" applyAlignment="1">
      <alignment vertical="center"/>
    </xf>
    <xf numFmtId="168" fontId="32" fillId="0" borderId="0" xfId="0" applyNumberFormat="1" applyFont="1" applyAlignment="1">
      <alignment vertical="center"/>
    </xf>
    <xf numFmtId="178" fontId="61" fillId="0" borderId="2" xfId="0" applyNumberFormat="1" applyFont="1" applyBorder="1" applyAlignment="1">
      <alignment vertical="center"/>
    </xf>
    <xf numFmtId="178" fontId="32" fillId="0" borderId="0" xfId="0" applyNumberFormat="1" applyFont="1" applyAlignment="1">
      <alignment vertical="center"/>
    </xf>
    <xf numFmtId="0" fontId="49" fillId="0" borderId="0" xfId="0" applyFont="1" applyAlignment="1">
      <alignment horizontal="left" vertical="center"/>
    </xf>
    <xf numFmtId="0" fontId="51" fillId="0" borderId="0" xfId="0" applyFont="1" applyAlignment="1">
      <alignment horizontal="center" vertical="center"/>
    </xf>
    <xf numFmtId="0" fontId="62" fillId="0" borderId="0" xfId="0" applyFont="1" applyAlignment="1">
      <alignment horizontal="center" vertical="center"/>
    </xf>
    <xf numFmtId="167" fontId="56" fillId="0" borderId="0" xfId="0" applyNumberFormat="1" applyFont="1" applyAlignment="1">
      <alignment horizontal="right" vertical="center"/>
    </xf>
    <xf numFmtId="167" fontId="55" fillId="0" borderId="0" xfId="0" applyNumberFormat="1" applyFont="1" applyAlignment="1">
      <alignment horizontal="right" vertical="center"/>
    </xf>
    <xf numFmtId="0" fontId="50" fillId="0" borderId="0" xfId="0" applyFont="1" applyAlignment="1">
      <alignment horizontal="center" vertical="center"/>
    </xf>
    <xf numFmtId="178" fontId="49" fillId="0" borderId="13" xfId="0" applyNumberFormat="1" applyFont="1" applyBorder="1" applyAlignment="1">
      <alignment vertical="center"/>
    </xf>
    <xf numFmtId="0" fontId="63" fillId="0" borderId="8" xfId="0" applyFont="1" applyBorder="1" applyAlignment="1">
      <alignment horizontal="left" vertical="center"/>
    </xf>
    <xf numFmtId="0" fontId="46" fillId="0" borderId="8" xfId="0" applyFont="1" applyBorder="1" applyAlignment="1">
      <alignment vertical="center"/>
    </xf>
    <xf numFmtId="0" fontId="32" fillId="0" borderId="8" xfId="0" applyFont="1" applyBorder="1" applyAlignment="1">
      <alignment vertical="center"/>
    </xf>
    <xf numFmtId="165" fontId="32" fillId="0" borderId="8" xfId="0" applyNumberFormat="1" applyFont="1" applyBorder="1" applyAlignment="1">
      <alignment vertical="center"/>
    </xf>
    <xf numFmtId="178" fontId="60" fillId="0" borderId="13" xfId="0" applyNumberFormat="1" applyFont="1" applyBorder="1" applyAlignment="1">
      <alignment vertical="center"/>
    </xf>
    <xf numFmtId="0" fontId="51" fillId="0" borderId="0" xfId="0" applyFont="1" applyAlignment="1">
      <alignment horizontal="left" vertical="center"/>
    </xf>
    <xf numFmtId="165" fontId="32" fillId="0" borderId="8" xfId="0" applyNumberFormat="1" applyFont="1" applyBorder="1" applyAlignment="1">
      <alignment horizontal="right" vertical="center"/>
    </xf>
    <xf numFmtId="0" fontId="32" fillId="0" borderId="8" xfId="0" applyFont="1" applyBorder="1" applyAlignment="1">
      <alignment horizontal="right" vertical="center"/>
    </xf>
    <xf numFmtId="178" fontId="49" fillId="0" borderId="13" xfId="0" applyNumberFormat="1" applyFont="1" applyBorder="1" applyAlignment="1">
      <alignment horizontal="right" vertical="center"/>
    </xf>
    <xf numFmtId="167" fontId="36" fillId="0" borderId="0" xfId="0" applyNumberFormat="1" applyFont="1" applyAlignment="1">
      <alignment vertical="center"/>
    </xf>
    <xf numFmtId="165" fontId="32" fillId="0" borderId="0" xfId="0" applyNumberFormat="1" applyFont="1" applyAlignment="1">
      <alignment vertical="center"/>
    </xf>
    <xf numFmtId="0" fontId="64" fillId="0" borderId="0" xfId="0" applyFont="1" applyAlignment="1">
      <alignment horizontal="center" vertical="center"/>
    </xf>
    <xf numFmtId="0" fontId="43" fillId="0" borderId="0" xfId="16" applyNumberFormat="1" applyFont="1" applyFill="1" applyBorder="1" applyAlignment="1">
      <alignment horizontal="center" vertical="center"/>
    </xf>
    <xf numFmtId="0" fontId="64" fillId="0" borderId="12" xfId="0" applyFont="1" applyBorder="1" applyAlignment="1">
      <alignment horizontal="center" vertical="center"/>
    </xf>
    <xf numFmtId="0" fontId="43" fillId="0" borderId="12" xfId="0" applyFont="1" applyBorder="1" applyAlignment="1">
      <alignment horizontal="center" vertical="center"/>
    </xf>
    <xf numFmtId="0" fontId="43" fillId="0" borderId="12" xfId="16" applyNumberFormat="1" applyFont="1" applyFill="1" applyBorder="1" applyAlignment="1">
      <alignment horizontal="center" vertical="center"/>
    </xf>
    <xf numFmtId="0" fontId="46" fillId="4" borderId="0" xfId="0" applyFont="1" applyFill="1" applyAlignment="1">
      <alignment vertical="center"/>
    </xf>
    <xf numFmtId="176" fontId="51" fillId="0" borderId="0" xfId="0" applyNumberFormat="1" applyFont="1" applyAlignment="1">
      <alignment horizontal="left" vertical="center"/>
    </xf>
    <xf numFmtId="178" fontId="60" fillId="0" borderId="0" xfId="0" applyNumberFormat="1" applyFont="1" applyAlignment="1">
      <alignment vertical="center"/>
    </xf>
    <xf numFmtId="168" fontId="49" fillId="5" borderId="0" xfId="0" applyNumberFormat="1" applyFont="1" applyFill="1" applyAlignment="1">
      <alignment horizontal="right" vertical="center"/>
    </xf>
    <xf numFmtId="0" fontId="49" fillId="0" borderId="7" xfId="0" applyFont="1" applyBorder="1" applyAlignment="1">
      <alignment vertical="center"/>
    </xf>
    <xf numFmtId="178" fontId="51" fillId="0" borderId="7" xfId="0" applyNumberFormat="1" applyFont="1" applyBorder="1" applyAlignment="1">
      <alignment vertical="center"/>
    </xf>
    <xf numFmtId="0" fontId="65" fillId="0" borderId="0" xfId="0" applyFont="1" applyAlignment="1">
      <alignment vertical="center"/>
    </xf>
    <xf numFmtId="0" fontId="43" fillId="0" borderId="12" xfId="0" applyFont="1" applyBorder="1" applyAlignment="1">
      <alignment horizontal="left" vertical="center"/>
    </xf>
    <xf numFmtId="0" fontId="32" fillId="0" borderId="13" xfId="0" applyFont="1" applyBorder="1" applyAlignment="1">
      <alignment vertical="center"/>
    </xf>
    <xf numFmtId="167" fontId="36" fillId="0" borderId="13" xfId="0" applyNumberFormat="1" applyFont="1" applyBorder="1" applyAlignment="1">
      <alignment vertical="center"/>
    </xf>
    <xf numFmtId="178" fontId="51" fillId="0" borderId="13" xfId="0" applyNumberFormat="1" applyFont="1" applyBorder="1" applyAlignment="1">
      <alignment vertical="center"/>
    </xf>
    <xf numFmtId="178" fontId="49" fillId="0" borderId="0" xfId="0" applyNumberFormat="1" applyFont="1" applyAlignment="1">
      <alignment horizontal="right" vertical="center"/>
    </xf>
    <xf numFmtId="178" fontId="66" fillId="0" borderId="7" xfId="0" applyNumberFormat="1" applyFont="1" applyBorder="1" applyAlignment="1">
      <alignment vertical="center"/>
    </xf>
    <xf numFmtId="169" fontId="32" fillId="0" borderId="0" xfId="0" applyNumberFormat="1" applyFont="1" applyAlignment="1">
      <alignment vertical="center"/>
    </xf>
    <xf numFmtId="0" fontId="66" fillId="0" borderId="0" xfId="0" applyFont="1" applyAlignment="1">
      <alignment horizontal="centerContinuous" vertical="center"/>
    </xf>
    <xf numFmtId="0" fontId="46" fillId="0" borderId="0" xfId="0" applyFont="1" applyAlignment="1">
      <alignment horizontal="centerContinuous" vertical="center"/>
    </xf>
    <xf numFmtId="175" fontId="46" fillId="0" borderId="0" xfId="0" applyNumberFormat="1" applyFont="1" applyAlignment="1">
      <alignment horizontal="centerContinuous" vertical="center"/>
    </xf>
    <xf numFmtId="178" fontId="51" fillId="0" borderId="0" xfId="0" applyNumberFormat="1" applyFont="1" applyAlignment="1">
      <alignment horizontal="centerContinuous" vertical="center"/>
    </xf>
    <xf numFmtId="0" fontId="67" fillId="0" borderId="0" xfId="0" applyFont="1" applyAlignment="1">
      <alignment vertical="center"/>
    </xf>
    <xf numFmtId="0" fontId="47" fillId="7" borderId="14" xfId="0" applyFont="1" applyFill="1" applyBorder="1" applyAlignment="1">
      <alignment horizontal="left" vertical="center"/>
    </xf>
    <xf numFmtId="0" fontId="47" fillId="7" borderId="15" xfId="0" applyFont="1" applyFill="1" applyBorder="1" applyAlignment="1">
      <alignment horizontal="left" vertical="center" indent="1"/>
    </xf>
    <xf numFmtId="0" fontId="46" fillId="7" borderId="15" xfId="0" applyFont="1" applyFill="1" applyBorder="1" applyAlignment="1">
      <alignment horizontal="left" vertical="center"/>
    </xf>
    <xf numFmtId="0" fontId="46" fillId="7" borderId="16" xfId="0" applyFont="1" applyFill="1" applyBorder="1" applyAlignment="1">
      <alignment horizontal="left" vertical="center"/>
    </xf>
    <xf numFmtId="0" fontId="68" fillId="0" borderId="0" xfId="0" applyFont="1" applyAlignment="1">
      <alignment vertical="center"/>
    </xf>
    <xf numFmtId="170" fontId="68" fillId="0" borderId="0" xfId="0" applyNumberFormat="1" applyFont="1" applyAlignment="1">
      <alignment horizontal="right" vertical="center"/>
    </xf>
    <xf numFmtId="0" fontId="69" fillId="0" borderId="0" xfId="16" applyNumberFormat="1" applyFont="1" applyFill="1" applyBorder="1" applyAlignment="1">
      <alignment horizontal="centerContinuous" vertical="center"/>
    </xf>
    <xf numFmtId="0" fontId="70" fillId="0" borderId="0" xfId="16" applyNumberFormat="1" applyFont="1" applyFill="1" applyBorder="1" applyAlignment="1">
      <alignment horizontal="center" vertical="center"/>
    </xf>
    <xf numFmtId="0" fontId="64" fillId="0" borderId="0" xfId="16" applyNumberFormat="1" applyFont="1" applyFill="1" applyBorder="1" applyAlignment="1">
      <alignment horizontal="center" vertical="center"/>
    </xf>
    <xf numFmtId="0" fontId="70" fillId="0" borderId="17" xfId="16" applyNumberFormat="1" applyFont="1" applyFill="1" applyBorder="1" applyAlignment="1">
      <alignment horizontal="center" vertical="center"/>
    </xf>
    <xf numFmtId="0" fontId="64" fillId="0" borderId="17" xfId="16" applyNumberFormat="1" applyFont="1" applyFill="1" applyBorder="1" applyAlignment="1">
      <alignment horizontal="center" vertical="center"/>
    </xf>
    <xf numFmtId="173" fontId="51" fillId="0" borderId="0" xfId="0" applyNumberFormat="1" applyFont="1" applyAlignment="1">
      <alignment vertical="center"/>
    </xf>
    <xf numFmtId="173" fontId="32" fillId="0" borderId="13" xfId="0" applyNumberFormat="1" applyFont="1" applyBorder="1" applyAlignment="1">
      <alignment vertical="center"/>
    </xf>
    <xf numFmtId="0" fontId="71" fillId="0" borderId="0" xfId="0" applyFont="1" applyAlignment="1">
      <alignment vertical="center"/>
    </xf>
    <xf numFmtId="170" fontId="51" fillId="0" borderId="0" xfId="0" applyNumberFormat="1" applyFont="1" applyAlignment="1">
      <alignment horizontal="right" vertical="center"/>
    </xf>
    <xf numFmtId="172" fontId="60" fillId="0" borderId="0" xfId="0" applyNumberFormat="1" applyFont="1" applyAlignment="1">
      <alignment vertical="center"/>
    </xf>
    <xf numFmtId="172" fontId="51" fillId="0" borderId="0" xfId="0" applyNumberFormat="1" applyFont="1" applyAlignment="1">
      <alignment horizontal="right" vertical="center"/>
    </xf>
    <xf numFmtId="174" fontId="51" fillId="0" borderId="0" xfId="0" applyNumberFormat="1" applyFont="1" applyAlignment="1">
      <alignment horizontal="right" vertical="center"/>
    </xf>
    <xf numFmtId="173" fontId="32" fillId="0" borderId="0" xfId="0" applyNumberFormat="1" applyFont="1" applyAlignment="1">
      <alignment vertical="center"/>
    </xf>
    <xf numFmtId="0" fontId="33" fillId="0" borderId="7" xfId="0" applyFont="1" applyBorder="1" applyAlignment="1">
      <alignment vertical="center"/>
    </xf>
    <xf numFmtId="173" fontId="33" fillId="0" borderId="7" xfId="0" applyNumberFormat="1" applyFont="1" applyBorder="1" applyAlignment="1">
      <alignment vertical="center"/>
    </xf>
    <xf numFmtId="180" fontId="32" fillId="0" borderId="0" xfId="0" applyNumberFormat="1" applyFont="1" applyAlignment="1">
      <alignment horizontal="right" vertical="center"/>
    </xf>
    <xf numFmtId="0" fontId="33" fillId="0" borderId="0" xfId="0" applyFont="1" applyAlignment="1">
      <alignment horizontal="left" vertical="center"/>
    </xf>
    <xf numFmtId="166" fontId="33" fillId="0" borderId="0" xfId="0" applyNumberFormat="1" applyFont="1" applyAlignment="1">
      <alignment horizontal="right" vertical="center"/>
    </xf>
    <xf numFmtId="167" fontId="36" fillId="0" borderId="0" xfId="0" applyNumberFormat="1" applyFont="1" applyAlignment="1">
      <alignment horizontal="right" vertical="center"/>
    </xf>
    <xf numFmtId="181" fontId="32" fillId="0" borderId="0" xfId="0" applyNumberFormat="1" applyFont="1" applyAlignment="1">
      <alignment horizontal="right" vertical="center"/>
    </xf>
    <xf numFmtId="169" fontId="72" fillId="4" borderId="0" xfId="0" applyNumberFormat="1" applyFont="1" applyFill="1" applyAlignment="1">
      <alignment horizontal="right" vertical="center"/>
    </xf>
    <xf numFmtId="176" fontId="73" fillId="0" borderId="12" xfId="0" applyNumberFormat="1" applyFont="1" applyBorder="1" applyAlignment="1">
      <alignment horizontal="center" vertical="center"/>
    </xf>
    <xf numFmtId="178" fontId="73" fillId="4" borderId="0" xfId="0" applyNumberFormat="1" applyFont="1" applyFill="1" applyAlignment="1">
      <alignment vertical="center"/>
    </xf>
    <xf numFmtId="168" fontId="74" fillId="4" borderId="0" xfId="0" applyNumberFormat="1" applyFont="1" applyFill="1" applyAlignment="1">
      <alignment vertical="center"/>
    </xf>
    <xf numFmtId="168" fontId="74" fillId="4" borderId="13" xfId="0" applyNumberFormat="1" applyFont="1" applyFill="1" applyBorder="1" applyAlignment="1">
      <alignment horizontal="right" vertical="center"/>
    </xf>
    <xf numFmtId="168" fontId="74" fillId="0" borderId="0" xfId="0" applyNumberFormat="1" applyFont="1" applyAlignment="1">
      <alignment vertical="center"/>
    </xf>
    <xf numFmtId="178" fontId="74" fillId="4" borderId="0" xfId="0" applyNumberFormat="1" applyFont="1" applyFill="1" applyAlignment="1">
      <alignment vertical="center"/>
    </xf>
    <xf numFmtId="172" fontId="74" fillId="4" borderId="0" xfId="0" applyNumberFormat="1" applyFont="1" applyFill="1" applyAlignment="1">
      <alignment vertical="center"/>
    </xf>
    <xf numFmtId="164" fontId="72" fillId="4" borderId="0" xfId="0" applyNumberFormat="1" applyFont="1" applyFill="1" applyAlignment="1">
      <alignment horizontal="right" vertical="center"/>
    </xf>
    <xf numFmtId="171" fontId="74" fillId="4" borderId="0" xfId="0" applyNumberFormat="1" applyFont="1" applyFill="1" applyAlignment="1">
      <alignment horizontal="right" vertical="center"/>
    </xf>
    <xf numFmtId="168" fontId="74" fillId="4" borderId="0" xfId="0" applyNumberFormat="1" applyFont="1" applyFill="1" applyAlignment="1">
      <alignment horizontal="right" vertical="center"/>
    </xf>
    <xf numFmtId="0" fontId="74" fillId="4" borderId="0" xfId="0" applyFont="1" applyFill="1" applyAlignment="1">
      <alignment horizontal="center" vertical="center"/>
    </xf>
    <xf numFmtId="164" fontId="72" fillId="4" borderId="0" xfId="0" applyNumberFormat="1" applyFont="1" applyFill="1" applyAlignment="1">
      <alignment vertical="center"/>
    </xf>
    <xf numFmtId="167" fontId="72" fillId="4" borderId="0" xfId="0" applyNumberFormat="1" applyFont="1" applyFill="1" applyAlignment="1">
      <alignment vertical="center"/>
    </xf>
    <xf numFmtId="182" fontId="74" fillId="4" borderId="0" xfId="0" applyNumberFormat="1" applyFont="1" applyFill="1" applyAlignment="1">
      <alignment horizontal="right" vertical="center"/>
    </xf>
    <xf numFmtId="167" fontId="72" fillId="4" borderId="0" xfId="0" applyNumberFormat="1" applyFont="1" applyFill="1" applyAlignment="1">
      <alignment horizontal="right" vertical="center"/>
    </xf>
    <xf numFmtId="174" fontId="74" fillId="4" borderId="0" xfId="0" applyNumberFormat="1" applyFont="1" applyFill="1" applyAlignment="1">
      <alignment horizontal="right" vertical="center"/>
    </xf>
    <xf numFmtId="0" fontId="73" fillId="0" borderId="12" xfId="0" applyFont="1" applyBorder="1" applyAlignment="1">
      <alignment horizontal="center" vertical="center"/>
    </xf>
    <xf numFmtId="0" fontId="74" fillId="0" borderId="0" xfId="0" applyFont="1" applyAlignment="1">
      <alignment horizontal="left" vertical="center"/>
    </xf>
    <xf numFmtId="167" fontId="72" fillId="0" borderId="0" xfId="0" applyNumberFormat="1" applyFont="1" applyAlignment="1">
      <alignment horizontal="right" vertical="center"/>
    </xf>
    <xf numFmtId="169" fontId="74" fillId="4" borderId="0" xfId="0" applyNumberFormat="1" applyFont="1" applyFill="1" applyAlignment="1">
      <alignment vertical="center"/>
    </xf>
    <xf numFmtId="178" fontId="74" fillId="4" borderId="13" xfId="0" applyNumberFormat="1" applyFont="1" applyFill="1" applyBorder="1" applyAlignment="1">
      <alignment vertical="center"/>
    </xf>
    <xf numFmtId="164" fontId="72" fillId="0" borderId="0" xfId="0" applyNumberFormat="1" applyFont="1" applyAlignment="1">
      <alignment horizontal="right" vertical="center"/>
    </xf>
    <xf numFmtId="173" fontId="74" fillId="4" borderId="0" xfId="0" applyNumberFormat="1" applyFont="1" applyFill="1" applyAlignment="1">
      <alignment vertical="center"/>
    </xf>
    <xf numFmtId="168" fontId="74" fillId="0" borderId="0" xfId="0" applyNumberFormat="1" applyFont="1" applyAlignment="1">
      <alignment horizontal="right" vertical="center"/>
    </xf>
    <xf numFmtId="0" fontId="74" fillId="4" borderId="0" xfId="0" applyFont="1" applyFill="1" applyAlignment="1">
      <alignment horizontal="left" vertical="center"/>
    </xf>
  </cellXfs>
  <cellStyles count="26">
    <cellStyle name="40% - Accent4" xfId="20" builtinId="43" hidden="1"/>
    <cellStyle name="A¨­￠￢￠O [0]_C¡IAo_AoAUAy¡ÆeC¡I " xfId="1" xr:uid="{00000000-0005-0000-0000-000001000000}"/>
    <cellStyle name="A¨­￠￢￠O_AoAUAy¡ÆeC¡I " xfId="2" xr:uid="{00000000-0005-0000-0000-000002000000}"/>
    <cellStyle name="ÅëÈ­ [0]_INQUIRY ¿µ¾÷ÃßÁø " xfId="3" xr:uid="{00000000-0005-0000-0000-000003000000}"/>
    <cellStyle name="AeE­ [0]_INQUIRY ¿μ¾÷AßAø " xfId="4" xr:uid="{00000000-0005-0000-0000-000004000000}"/>
    <cellStyle name="ÅëÈ­_INQUIRY ¿µ¾÷ÃßÁø " xfId="5" xr:uid="{00000000-0005-0000-0000-000005000000}"/>
    <cellStyle name="AeE­_INQUIRY ¿μ¾÷AßAø " xfId="6" xr:uid="{00000000-0005-0000-0000-000006000000}"/>
    <cellStyle name="Amount_EQU_RIGH.XLS_Equity market_Preferred Securities " xfId="7" xr:uid="{00000000-0005-0000-0000-000007000000}"/>
    <cellStyle name="C￥AØ_¿μ¾÷CoE² " xfId="8" xr:uid="{00000000-0005-0000-0000-000008000000}"/>
    <cellStyle name="Ç¥ÁØ_»ç¾÷ºÎº° ÃÑ°è " xfId="9" xr:uid="{00000000-0005-0000-0000-000009000000}"/>
    <cellStyle name="C￥AØ_≫c¾÷ºIº° AN°e " xfId="10" xr:uid="{00000000-0005-0000-0000-00000A000000}"/>
    <cellStyle name="Ç¥ÁØ_0N-HANDLING " xfId="11" xr:uid="{00000000-0005-0000-0000-00000B000000}"/>
    <cellStyle name="C￥AØ_Ay°eC￥(2¿u) " xfId="12" xr:uid="{00000000-0005-0000-0000-00000C000000}"/>
    <cellStyle name="Ç¥ÁØ_Áý°èÇ¥(2¿ù) " xfId="13" xr:uid="{00000000-0005-0000-0000-00000D000000}"/>
    <cellStyle name="C￥AØ_CoAo¹yAI °A¾×¿ⓒ½A " xfId="14" xr:uid="{00000000-0005-0000-0000-00000E000000}"/>
    <cellStyle name="Ç¥ÁØ_Sheet1_¿µ¾÷ÇöÈ² " xfId="15" xr:uid="{00000000-0005-0000-0000-00000F000000}"/>
    <cellStyle name="Comma [0]" xfId="17" builtinId="6" hidden="1"/>
    <cellStyle name="Currency [0]" xfId="18" builtinId="7" hidden="1"/>
    <cellStyle name="Heading 1" xfId="16" builtinId="16"/>
    <cellStyle name="Hyperlink 2" xfId="23" xr:uid="{F9F20EC5-1ADC-4424-AA6B-8AC447644F03}"/>
    <cellStyle name="Hyperlink 2 2" xfId="25" xr:uid="{BC4E8892-54E4-4955-939B-A022A0991A2E}"/>
    <cellStyle name="Normal" xfId="0" builtinId="0" customBuiltin="1"/>
    <cellStyle name="Normal 2" xfId="22" xr:uid="{92B3D8D6-30A3-41DF-899F-EEC92A29E2E1}"/>
    <cellStyle name="Normal 2 2 2" xfId="21" xr:uid="{98575094-E181-4411-B1BD-290B5A165441}"/>
    <cellStyle name="Normal 3" xfId="24" xr:uid="{C86E1523-7455-4CCB-96E4-104AA9D58839}"/>
    <cellStyle name="Output" xfId="19" builtinId="21" hidde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3868"/>
      <rgbColor rgb="000000FF"/>
      <rgbColor rgb="00255B89"/>
      <rgbColor rgb="00BE92C5"/>
      <rgbColor rgb="00F49C3E"/>
      <rgbColor rgb="00A7E0F4"/>
      <rgbColor rgb="007898B3"/>
      <rgbColor rgb="00A6CB95"/>
      <rgbColor rgb="00000000"/>
      <rgbColor rgb="0092499E"/>
      <rgbColor rgb="00C8C1BC"/>
      <rgbColor rgb="006CCBED"/>
      <rgbColor rgb="00FFD251"/>
      <rgbColor rgb="006AA94E"/>
      <rgbColor rgb="00E1EEDC"/>
      <rgbColor rgb="00FDEBD8"/>
      <rgbColor rgb="00255B89"/>
      <rgbColor rgb="0091867E"/>
      <rgbColor rgb="009D0E2D"/>
      <rgbColor rgb="006CCBED"/>
      <rgbColor rgb="0092499E"/>
      <rgbColor rgb="00C8C1BC"/>
      <rgbColor rgb="006AA94E"/>
      <rgbColor rgb="00F49C3E"/>
      <rgbColor rgb="007898B3"/>
      <rgbColor rgb="00DE7572"/>
      <rgbColor rgb="00A7E0F4"/>
      <rgbColor rgb="00BE92C5"/>
      <rgbColor rgb="00F8C48B"/>
      <rgbColor rgb="00A6CB95"/>
      <rgbColor rgb="00FFDD7D"/>
      <rgbColor rgb="00FFC726"/>
      <rgbColor rgb="00F8C48B"/>
      <rgbColor rgb="00C3DDB8"/>
      <rgbColor rgb="00D3B6D8"/>
      <rgbColor rgb="00C4EAF8"/>
      <rgbColor rgb="00FBD7B2"/>
      <rgbColor rgb="00B2C2D1"/>
      <rgbColor rgb="00FFE9A8"/>
      <rgbColor rgb="00EBB7B6"/>
      <rgbColor rgb="00F6B065"/>
      <rgbColor rgb="0088BA71"/>
      <rgbColor rgb="0089D5F1"/>
      <rgbColor rgb="00DDE4E9"/>
      <rgbColor rgb="00C23841"/>
      <rgbColor rgb="00FFFFFF"/>
      <rgbColor rgb="00FFC726"/>
      <rgbColor rgb="00F5DBDA"/>
      <rgbColor rgb="00E3DFDB"/>
      <rgbColor rgb="00A86DB1"/>
      <rgbColor rgb="00F5F1EF"/>
      <rgbColor rgb="00E2F5FB"/>
      <rgbColor rgb="009D0E2D"/>
      <rgbColor rgb="00FFDD7D"/>
      <rgbColor rgb="00AAA19A"/>
      <rgbColor rgb="0091867E"/>
    </indexedColors>
    <mruColors>
      <color rgb="FFFFF5D2"/>
      <color rgb="FF235A8C"/>
      <color rgb="FF003769"/>
      <color rgb="FFEBEBE6"/>
      <color rgb="FFB4C3D2"/>
      <color rgb="FFDCE6EB"/>
      <color rgb="FF7396AF"/>
      <color rgb="FF789BAF"/>
      <color rgb="FF7896AF"/>
      <color rgb="FFFFF4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macabacus.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macabacus.com"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14288</xdr:colOff>
      <xdr:row>2</xdr:row>
      <xdr:rowOff>200026</xdr:rowOff>
    </xdr:from>
    <xdr:to>
      <xdr:col>3</xdr:col>
      <xdr:colOff>471093</xdr:colOff>
      <xdr:row>6</xdr:row>
      <xdr:rowOff>52388</xdr:rowOff>
    </xdr:to>
    <xdr:pic>
      <xdr:nvPicPr>
        <xdr:cNvPr id="2" name="Picture 1">
          <a:hlinkClick xmlns:r="http://schemas.openxmlformats.org/officeDocument/2006/relationships" r:id="rId1"/>
          <a:extLst>
            <a:ext uri="{FF2B5EF4-FFF2-40B4-BE49-F238E27FC236}">
              <a16:creationId xmlns:a16="http://schemas.microsoft.com/office/drawing/2014/main" id="{2D4EBE28-1722-4412-B1EE-46BCE8EA39F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03898" y="695326"/>
          <a:ext cx="3112375" cy="8429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183776</xdr:colOff>
      <xdr:row>0</xdr:row>
      <xdr:rowOff>26893</xdr:rowOff>
    </xdr:from>
    <xdr:to>
      <xdr:col>3</xdr:col>
      <xdr:colOff>598367</xdr:colOff>
      <xdr:row>0</xdr:row>
      <xdr:rowOff>572864</xdr:rowOff>
    </xdr:to>
    <xdr:pic>
      <xdr:nvPicPr>
        <xdr:cNvPr id="2" name="Picture 1">
          <a:hlinkClick xmlns:r="http://schemas.openxmlformats.org/officeDocument/2006/relationships" r:id="rId1"/>
          <a:extLst>
            <a:ext uri="{FF2B5EF4-FFF2-40B4-BE49-F238E27FC236}">
              <a16:creationId xmlns:a16="http://schemas.microsoft.com/office/drawing/2014/main" id="{D05FC324-CF01-4E39-B1A1-4269E082D35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0466" y="26893"/>
          <a:ext cx="2022411" cy="5459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ared%20drives\Non%20Course%20Content\Macabacus%20Learning%20Resources\Complete%20Models%20-%20Complete\ipo-model.xlsx" TargetMode="External"/><Relationship Id="rId1" Type="http://schemas.openxmlformats.org/officeDocument/2006/relationships/externalLinkPath" Target="ipo-mod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__FDSCACHE__"/>
      <sheetName val="Cover Page"/>
      <sheetName val="Assumptions"/>
      <sheetName val="FDSO"/>
      <sheetName val="IPO"/>
      <sheetName val="#REF"/>
    </sheetNames>
    <sheetDataSet>
      <sheetData sheetId="0" refreshError="1"/>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eedback@macabacus.com" TargetMode="External"/><Relationship Id="rId1" Type="http://schemas.openxmlformats.org/officeDocument/2006/relationships/hyperlink" Target="https://www.macabacu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5C4BC-0A7A-4CC2-AA4B-A1B7343868F5}">
  <sheetPr>
    <pageSetUpPr fitToPage="1"/>
  </sheetPr>
  <dimension ref="A1:O54"/>
  <sheetViews>
    <sheetView showGridLines="0" tabSelected="1" zoomScale="75" zoomScaleNormal="75" zoomScaleSheetLayoutView="70" workbookViewId="0"/>
  </sheetViews>
  <sheetFormatPr defaultRowHeight="14.4"/>
  <cols>
    <col min="1" max="1" width="4.94140625" style="3" customWidth="1"/>
    <col min="2" max="2" width="5.109375" style="3" customWidth="1"/>
    <col min="3" max="3" width="38.71875" style="3" customWidth="1"/>
    <col min="4" max="11" width="11.27734375" style="3" customWidth="1"/>
    <col min="12" max="12" width="38.71875" style="3" customWidth="1"/>
    <col min="13" max="13" width="5.109375" style="3" customWidth="1"/>
    <col min="14" max="16384" width="8.88671875" style="3"/>
  </cols>
  <sheetData>
    <row r="1" spans="1:15" ht="19.5" customHeight="1" thickBot="1">
      <c r="A1" s="2"/>
      <c r="B1" s="2"/>
      <c r="C1" s="2"/>
      <c r="D1" s="2"/>
      <c r="E1" s="2"/>
      <c r="F1" s="2"/>
      <c r="G1" s="2"/>
      <c r="H1" s="2"/>
      <c r="I1" s="2"/>
      <c r="J1" s="2"/>
      <c r="K1" s="2"/>
      <c r="L1" s="2"/>
      <c r="M1" s="2"/>
    </row>
    <row r="2" spans="1:15" ht="19.5" customHeight="1" thickTop="1">
      <c r="A2" s="2"/>
      <c r="B2" s="4"/>
      <c r="C2" s="5"/>
      <c r="D2" s="5"/>
      <c r="E2" s="5"/>
      <c r="F2" s="5"/>
      <c r="G2" s="5"/>
      <c r="H2" s="5"/>
      <c r="I2" s="5"/>
      <c r="J2" s="5"/>
      <c r="K2" s="5"/>
      <c r="L2" s="5"/>
      <c r="M2" s="6"/>
    </row>
    <row r="3" spans="1:15" ht="19.5" customHeight="1">
      <c r="A3" s="2"/>
      <c r="B3" s="7"/>
      <c r="C3" s="8"/>
      <c r="D3" s="8"/>
      <c r="E3" s="8"/>
      <c r="F3" s="8"/>
      <c r="G3" s="8"/>
      <c r="H3" s="8"/>
      <c r="I3" s="8"/>
      <c r="J3" s="8"/>
      <c r="K3" s="8"/>
      <c r="L3" s="8"/>
      <c r="M3" s="9"/>
      <c r="O3" s="10"/>
    </row>
    <row r="4" spans="1:15" ht="19.5" customHeight="1">
      <c r="A4" s="2"/>
      <c r="B4" s="7"/>
      <c r="C4" s="8"/>
      <c r="D4" s="8"/>
      <c r="E4" s="8"/>
      <c r="F4" s="8"/>
      <c r="G4" s="8"/>
      <c r="H4" s="8"/>
      <c r="I4" s="8"/>
      <c r="J4" s="8"/>
      <c r="K4" s="8"/>
      <c r="L4" s="8"/>
      <c r="M4" s="9"/>
      <c r="O4" s="10"/>
    </row>
    <row r="5" spans="1:15" ht="19.5" customHeight="1">
      <c r="A5" s="2"/>
      <c r="B5" s="7"/>
      <c r="C5" s="8"/>
      <c r="D5" s="8"/>
      <c r="E5" s="8"/>
      <c r="F5" s="8"/>
      <c r="G5" s="8"/>
      <c r="H5" s="8"/>
      <c r="I5" s="8"/>
      <c r="J5" s="8"/>
      <c r="K5" s="8"/>
      <c r="L5" s="8"/>
      <c r="M5" s="9"/>
    </row>
    <row r="6" spans="1:15" ht="19.5" customHeight="1">
      <c r="A6" s="2"/>
      <c r="B6" s="7"/>
      <c r="C6" s="8"/>
      <c r="D6" s="8"/>
      <c r="E6" s="8"/>
      <c r="F6" s="8"/>
      <c r="G6" s="8"/>
      <c r="H6" s="8"/>
      <c r="I6" s="8"/>
      <c r="J6" s="8"/>
      <c r="K6" s="8"/>
      <c r="L6" s="8"/>
      <c r="M6" s="9"/>
    </row>
    <row r="7" spans="1:15" ht="19.5" customHeight="1">
      <c r="A7" s="2"/>
      <c r="B7" s="7"/>
      <c r="C7" s="8"/>
      <c r="D7" s="8"/>
      <c r="E7" s="8"/>
      <c r="F7" s="8"/>
      <c r="G7" s="8"/>
      <c r="H7" s="8"/>
      <c r="I7" s="8"/>
      <c r="J7" s="8"/>
      <c r="K7" s="8"/>
      <c r="L7" s="8"/>
      <c r="M7" s="9"/>
    </row>
    <row r="8" spans="1:15" ht="19.5" customHeight="1">
      <c r="A8" s="2"/>
      <c r="B8" s="7"/>
      <c r="C8" s="8"/>
      <c r="D8" s="8"/>
      <c r="E8" s="8"/>
      <c r="F8" s="8"/>
      <c r="G8" s="8"/>
      <c r="H8" s="8"/>
      <c r="I8" s="8"/>
      <c r="J8" s="8"/>
      <c r="K8" s="8"/>
      <c r="L8" s="8"/>
      <c r="M8" s="9"/>
    </row>
    <row r="9" spans="1:15" ht="19.5" customHeight="1">
      <c r="A9" s="2"/>
      <c r="B9" s="7"/>
      <c r="C9" s="8"/>
      <c r="D9" s="8"/>
      <c r="E9" s="8"/>
      <c r="F9" s="8"/>
      <c r="G9" s="8"/>
      <c r="H9" s="8"/>
      <c r="I9" s="8"/>
      <c r="J9" s="8"/>
      <c r="K9" s="8"/>
      <c r="L9" s="8"/>
      <c r="M9" s="9"/>
    </row>
    <row r="10" spans="1:15" ht="19.5" customHeight="1">
      <c r="A10" s="2"/>
      <c r="B10" s="11"/>
      <c r="C10" s="2"/>
      <c r="D10" s="2"/>
      <c r="E10" s="2"/>
      <c r="F10" s="2"/>
      <c r="G10" s="2"/>
      <c r="H10" s="2"/>
      <c r="I10" s="2"/>
      <c r="J10" s="2"/>
      <c r="K10" s="2"/>
      <c r="L10" s="2"/>
      <c r="M10" s="12"/>
    </row>
    <row r="11" spans="1:15" ht="28.5" customHeight="1">
      <c r="A11" s="2"/>
      <c r="B11" s="11"/>
      <c r="C11" s="13" t="s">
        <v>297</v>
      </c>
      <c r="D11" s="2"/>
      <c r="E11" s="2"/>
      <c r="F11" s="2"/>
      <c r="G11" s="2"/>
      <c r="H11" s="2"/>
      <c r="I11" s="2"/>
      <c r="J11" s="2"/>
      <c r="K11" s="2"/>
      <c r="L11" s="14" t="s">
        <v>316</v>
      </c>
      <c r="M11" s="12"/>
    </row>
    <row r="12" spans="1:15" ht="19.5" customHeight="1">
      <c r="A12" s="2"/>
      <c r="B12" s="11"/>
      <c r="C12" s="15"/>
      <c r="D12" s="2"/>
      <c r="E12" s="2"/>
      <c r="F12" s="2"/>
      <c r="G12" s="2"/>
      <c r="H12" s="2"/>
      <c r="I12" s="2"/>
      <c r="J12" s="2"/>
      <c r="K12" s="16"/>
      <c r="L12" s="16"/>
      <c r="M12" s="12"/>
    </row>
    <row r="13" spans="1:15" ht="19.5" customHeight="1">
      <c r="A13" s="2"/>
      <c r="B13" s="11"/>
      <c r="C13" s="17" t="s">
        <v>317</v>
      </c>
      <c r="D13" s="18"/>
      <c r="E13" s="18"/>
      <c r="F13" s="18"/>
      <c r="G13" s="18"/>
      <c r="H13" s="18"/>
      <c r="I13" s="18"/>
      <c r="J13" s="18"/>
      <c r="K13" s="16"/>
      <c r="L13" s="16"/>
      <c r="M13" s="12"/>
    </row>
    <row r="14" spans="1:15" ht="19.5" customHeight="1">
      <c r="A14" s="2"/>
      <c r="B14" s="11"/>
      <c r="C14" s="2"/>
      <c r="D14" s="18"/>
      <c r="E14" s="18"/>
      <c r="F14" s="18"/>
      <c r="G14" s="18"/>
      <c r="H14" s="18"/>
      <c r="I14" s="18"/>
      <c r="J14" s="18"/>
      <c r="K14" s="18"/>
      <c r="L14" s="18"/>
      <c r="M14" s="12"/>
    </row>
    <row r="15" spans="1:15" ht="19.5" customHeight="1">
      <c r="A15" s="2"/>
      <c r="B15" s="11"/>
      <c r="C15" s="19" t="s">
        <v>342</v>
      </c>
      <c r="D15" s="18"/>
      <c r="E15" s="18"/>
      <c r="F15" s="18"/>
      <c r="G15" s="18"/>
      <c r="H15" s="18"/>
      <c r="I15" s="18"/>
      <c r="J15" s="18"/>
      <c r="K15" s="18"/>
      <c r="L15" s="18"/>
      <c r="M15" s="12"/>
    </row>
    <row r="16" spans="1:15" ht="19.5" customHeight="1">
      <c r="A16" s="2"/>
      <c r="B16" s="11"/>
      <c r="C16"/>
      <c r="D16" s="18"/>
      <c r="E16" s="18"/>
      <c r="F16" s="18"/>
      <c r="G16" s="18"/>
      <c r="H16" s="18"/>
      <c r="I16" s="18"/>
      <c r="J16" s="18"/>
      <c r="K16" s="18"/>
      <c r="L16" s="18"/>
      <c r="M16" s="12"/>
    </row>
    <row r="17" spans="1:15" ht="19.5" customHeight="1">
      <c r="A17" s="2"/>
      <c r="B17" s="11"/>
      <c r="C17"/>
      <c r="D17"/>
      <c r="E17" s="18"/>
      <c r="F17" s="18"/>
      <c r="G17" s="18"/>
      <c r="H17" s="18"/>
      <c r="I17" s="18"/>
      <c r="J17" s="18"/>
      <c r="K17" s="18"/>
      <c r="L17" s="18"/>
      <c r="M17" s="12"/>
    </row>
    <row r="18" spans="1:15" ht="19.5" customHeight="1">
      <c r="A18" s="2"/>
      <c r="B18" s="11"/>
      <c r="C18"/>
      <c r="D18"/>
      <c r="E18" s="18"/>
      <c r="F18" s="18"/>
      <c r="G18" s="18"/>
      <c r="H18" s="18"/>
      <c r="I18" s="18"/>
      <c r="J18" s="18"/>
      <c r="K18" s="18"/>
      <c r="L18" s="18"/>
      <c r="M18" s="12"/>
    </row>
    <row r="19" spans="1:15" ht="19.5" customHeight="1">
      <c r="A19" s="2"/>
      <c r="B19" s="11"/>
      <c r="C19"/>
      <c r="D19"/>
      <c r="E19" s="18"/>
      <c r="F19" s="18"/>
      <c r="G19" s="18"/>
      <c r="H19" s="18"/>
      <c r="I19" s="18"/>
      <c r="J19" s="18"/>
      <c r="K19" s="18"/>
      <c r="L19" s="18"/>
      <c r="M19" s="12"/>
    </row>
    <row r="20" spans="1:15" ht="19.5" customHeight="1">
      <c r="A20" s="2"/>
      <c r="B20" s="11"/>
      <c r="C20" s="20"/>
      <c r="D20" s="21"/>
      <c r="E20" s="18"/>
      <c r="F20" s="18"/>
      <c r="G20" s="18"/>
      <c r="H20" s="18"/>
      <c r="I20" s="18"/>
      <c r="J20" s="18"/>
      <c r="K20" s="18"/>
      <c r="L20" s="18"/>
      <c r="M20" s="12"/>
    </row>
    <row r="21" spans="1:15" ht="19.5" customHeight="1">
      <c r="A21" s="2"/>
      <c r="B21" s="11"/>
      <c r="C21" s="22" t="s">
        <v>318</v>
      </c>
      <c r="D21" s="23"/>
      <c r="E21" s="23"/>
      <c r="F21" s="23"/>
      <c r="G21" s="23"/>
      <c r="H21" s="23"/>
      <c r="I21" s="23"/>
      <c r="J21" s="23"/>
      <c r="K21" s="23"/>
      <c r="L21" s="23"/>
      <c r="M21" s="12"/>
      <c r="O21" s="24"/>
    </row>
    <row r="22" spans="1:15" ht="19.5" customHeight="1">
      <c r="A22" s="2"/>
      <c r="B22" s="11"/>
      <c r="C22" s="22"/>
      <c r="D22" s="23"/>
      <c r="E22" s="23"/>
      <c r="F22" s="23"/>
      <c r="G22" s="23"/>
      <c r="H22" s="23"/>
      <c r="I22" s="23"/>
      <c r="J22" s="23"/>
      <c r="K22" s="23"/>
      <c r="L22" s="23"/>
      <c r="M22" s="12"/>
      <c r="O22" s="25"/>
    </row>
    <row r="23" spans="1:15" ht="19.5" customHeight="1">
      <c r="A23" s="2"/>
      <c r="B23" s="11"/>
      <c r="C23" s="22" t="s">
        <v>294</v>
      </c>
      <c r="D23" s="23"/>
      <c r="E23" s="23"/>
      <c r="F23" s="23"/>
      <c r="G23" s="23"/>
      <c r="H23" s="23"/>
      <c r="I23" s="23"/>
      <c r="J23" s="23"/>
      <c r="K23" s="23"/>
      <c r="L23" s="23"/>
      <c r="M23" s="12"/>
      <c r="O23" s="24"/>
    </row>
    <row r="24" spans="1:15" ht="19.5" customHeight="1">
      <c r="A24" s="2"/>
      <c r="B24" s="11"/>
      <c r="C24" s="26" t="s">
        <v>319</v>
      </c>
      <c r="D24" s="23"/>
      <c r="E24" s="23"/>
      <c r="F24" s="23"/>
      <c r="G24" s="23"/>
      <c r="H24" s="23"/>
      <c r="I24" s="23"/>
      <c r="J24" s="23"/>
      <c r="K24" s="23"/>
      <c r="L24" s="23"/>
      <c r="M24" s="12"/>
    </row>
    <row r="25" spans="1:15" ht="19.5" customHeight="1">
      <c r="A25" s="2"/>
      <c r="B25" s="11"/>
      <c r="C25" s="26" t="s">
        <v>320</v>
      </c>
      <c r="D25" s="23"/>
      <c r="E25" s="23"/>
      <c r="F25" s="23"/>
      <c r="G25" s="23"/>
      <c r="H25" s="23"/>
      <c r="I25" s="23"/>
      <c r="J25" s="23"/>
      <c r="K25" s="23"/>
      <c r="L25" s="23"/>
      <c r="M25" s="12"/>
    </row>
    <row r="26" spans="1:15" ht="19.5" customHeight="1">
      <c r="A26" s="2"/>
      <c r="B26" s="11"/>
      <c r="C26" s="26" t="s">
        <v>321</v>
      </c>
      <c r="D26" s="23"/>
      <c r="E26" s="23"/>
      <c r="F26" s="23"/>
      <c r="G26" s="23"/>
      <c r="H26" s="23"/>
      <c r="I26" s="23"/>
      <c r="J26" s="23"/>
      <c r="K26" s="23"/>
      <c r="L26" s="23"/>
      <c r="M26" s="12"/>
    </row>
    <row r="27" spans="1:15" ht="19.5" customHeight="1">
      <c r="A27" s="2"/>
      <c r="B27" s="11"/>
      <c r="C27" s="26"/>
      <c r="D27" s="23"/>
      <c r="E27" s="23"/>
      <c r="F27" s="23"/>
      <c r="G27" s="23"/>
      <c r="H27" s="23"/>
      <c r="I27" s="23"/>
      <c r="J27" s="23"/>
      <c r="K27" s="23"/>
      <c r="L27" s="23"/>
      <c r="M27" s="12"/>
    </row>
    <row r="28" spans="1:15" ht="19.5" customHeight="1">
      <c r="A28" s="2"/>
      <c r="B28" s="11"/>
      <c r="C28" s="22" t="s">
        <v>294</v>
      </c>
      <c r="D28" s="23"/>
      <c r="E28" s="23"/>
      <c r="F28" s="23"/>
      <c r="G28" s="23"/>
      <c r="H28" s="23"/>
      <c r="I28" s="23"/>
      <c r="J28" s="23"/>
      <c r="K28" s="23"/>
      <c r="L28" s="23"/>
      <c r="M28" s="12"/>
    </row>
    <row r="29" spans="1:15" ht="19.5" customHeight="1">
      <c r="A29" s="2"/>
      <c r="B29" s="11"/>
      <c r="C29" s="27" t="s">
        <v>322</v>
      </c>
      <c r="D29" s="23"/>
      <c r="E29" s="23"/>
      <c r="F29" s="23"/>
      <c r="G29" s="23"/>
      <c r="H29" s="23"/>
      <c r="I29" s="23"/>
      <c r="J29" s="23"/>
      <c r="K29" s="23"/>
      <c r="L29" s="23"/>
      <c r="M29" s="12"/>
    </row>
    <row r="30" spans="1:15" ht="19.5" customHeight="1">
      <c r="A30" s="2"/>
      <c r="B30" s="11"/>
      <c r="C30" s="27" t="s">
        <v>323</v>
      </c>
      <c r="D30" s="23"/>
      <c r="E30" s="23"/>
      <c r="F30" s="23"/>
      <c r="G30" s="23"/>
      <c r="H30" s="23"/>
      <c r="I30" s="23"/>
      <c r="J30" s="23"/>
      <c r="K30" s="23"/>
      <c r="L30" s="23"/>
      <c r="M30" s="12"/>
    </row>
    <row r="31" spans="1:15" ht="19.5" customHeight="1">
      <c r="A31" s="2"/>
      <c r="B31" s="11"/>
      <c r="C31" s="27" t="s">
        <v>324</v>
      </c>
      <c r="D31" s="23"/>
      <c r="E31" s="23"/>
      <c r="F31" s="23"/>
      <c r="G31" s="23"/>
      <c r="H31" s="23"/>
      <c r="I31" s="23"/>
      <c r="J31" s="23"/>
      <c r="K31" s="23"/>
      <c r="L31" s="23"/>
      <c r="M31" s="12"/>
    </row>
    <row r="32" spans="1:15" ht="19.5" customHeight="1">
      <c r="A32" s="2"/>
      <c r="B32" s="11"/>
      <c r="C32" s="27" t="s">
        <v>325</v>
      </c>
      <c r="D32" s="23"/>
      <c r="E32" s="23"/>
      <c r="F32" s="23"/>
      <c r="G32" s="23"/>
      <c r="H32" s="23"/>
      <c r="I32" s="23"/>
      <c r="J32" s="23"/>
      <c r="K32" s="23"/>
      <c r="L32" s="23"/>
      <c r="M32" s="12"/>
    </row>
    <row r="33" spans="1:15" ht="19.5" customHeight="1">
      <c r="A33" s="2"/>
      <c r="B33" s="11"/>
      <c r="C33" s="27" t="s">
        <v>326</v>
      </c>
      <c r="D33" s="23"/>
      <c r="E33" s="23"/>
      <c r="F33" s="23"/>
      <c r="G33" s="23"/>
      <c r="H33" s="23"/>
      <c r="I33" s="23"/>
      <c r="J33" s="23"/>
      <c r="K33" s="23"/>
      <c r="L33" s="23"/>
      <c r="M33" s="12"/>
    </row>
    <row r="34" spans="1:15" ht="19.5" customHeight="1">
      <c r="A34" s="2"/>
      <c r="B34" s="11"/>
      <c r="C34" s="27" t="s">
        <v>327</v>
      </c>
      <c r="D34" s="23"/>
      <c r="E34" s="23"/>
      <c r="F34" s="23"/>
      <c r="G34" s="23"/>
      <c r="H34" s="23"/>
      <c r="I34" s="23"/>
      <c r="J34" s="23"/>
      <c r="K34" s="23"/>
      <c r="L34" s="23"/>
      <c r="M34" s="12"/>
    </row>
    <row r="35" spans="1:15" ht="19.5" customHeight="1">
      <c r="A35" s="2"/>
      <c r="B35" s="11"/>
      <c r="C35" s="27" t="s">
        <v>328</v>
      </c>
      <c r="D35" s="23"/>
      <c r="E35" s="23"/>
      <c r="F35" s="23"/>
      <c r="G35" s="23"/>
      <c r="H35" s="23"/>
      <c r="I35" s="23"/>
      <c r="J35" s="23"/>
      <c r="K35" s="23"/>
      <c r="L35" s="23"/>
      <c r="M35" s="12"/>
    </row>
    <row r="36" spans="1:15" ht="19.5" customHeight="1">
      <c r="A36" s="2"/>
      <c r="B36" s="11"/>
      <c r="C36" s="27" t="s">
        <v>329</v>
      </c>
      <c r="D36" s="23"/>
      <c r="E36" s="23"/>
      <c r="F36" s="23"/>
      <c r="G36" s="23"/>
      <c r="H36" s="23"/>
      <c r="I36" s="23"/>
      <c r="J36" s="23"/>
      <c r="K36" s="23"/>
      <c r="L36" s="23"/>
      <c r="M36" s="12"/>
    </row>
    <row r="37" spans="1:15" ht="19.5" customHeight="1">
      <c r="A37" s="2"/>
      <c r="B37" s="11"/>
      <c r="C37" s="27"/>
      <c r="D37" s="23"/>
      <c r="E37" s="23"/>
      <c r="F37" s="23"/>
      <c r="G37" s="23"/>
      <c r="H37" s="23"/>
      <c r="I37" s="23"/>
      <c r="J37" s="23"/>
      <c r="K37" s="23"/>
      <c r="L37" s="23"/>
      <c r="M37" s="12"/>
    </row>
    <row r="38" spans="1:15" ht="19.5" customHeight="1">
      <c r="A38" s="2"/>
      <c r="B38" s="11"/>
      <c r="C38" s="22" t="s">
        <v>295</v>
      </c>
      <c r="D38" s="23"/>
      <c r="E38" s="23"/>
      <c r="F38" s="23"/>
      <c r="G38" s="23"/>
      <c r="H38" s="23"/>
      <c r="I38" s="23"/>
      <c r="J38" s="23"/>
      <c r="K38" s="23"/>
      <c r="L38" s="23"/>
      <c r="M38" s="12"/>
    </row>
    <row r="39" spans="1:15" ht="19.5" customHeight="1">
      <c r="A39" s="2"/>
      <c r="B39" s="11"/>
      <c r="C39" s="27" t="s">
        <v>330</v>
      </c>
      <c r="D39" s="23"/>
      <c r="E39" s="23"/>
      <c r="F39" s="23"/>
      <c r="G39" s="23"/>
      <c r="H39" s="23"/>
      <c r="I39" s="23"/>
      <c r="J39" s="23"/>
      <c r="K39" s="23"/>
      <c r="L39" s="23"/>
      <c r="M39" s="12"/>
    </row>
    <row r="40" spans="1:15" ht="19.5" customHeight="1">
      <c r="A40" s="2"/>
      <c r="B40" s="11"/>
      <c r="C40" s="27" t="s">
        <v>331</v>
      </c>
      <c r="D40" s="23"/>
      <c r="E40" s="23"/>
      <c r="F40" s="23"/>
      <c r="G40" s="23"/>
      <c r="H40" s="23"/>
      <c r="I40" s="23"/>
      <c r="J40" s="23"/>
      <c r="K40" s="23"/>
      <c r="L40" s="23"/>
      <c r="M40" s="12"/>
    </row>
    <row r="41" spans="1:15" ht="19.5" customHeight="1">
      <c r="A41" s="2"/>
      <c r="B41" s="11"/>
      <c r="C41" s="27" t="s">
        <v>332</v>
      </c>
      <c r="D41" s="23"/>
      <c r="E41" s="23"/>
      <c r="F41" s="23"/>
      <c r="G41" s="23"/>
      <c r="H41" s="23"/>
      <c r="I41" s="23"/>
      <c r="J41" s="23"/>
      <c r="K41" s="23"/>
      <c r="L41" s="23"/>
      <c r="M41" s="12"/>
    </row>
    <row r="42" spans="1:15" ht="19.5" customHeight="1">
      <c r="A42" s="2"/>
      <c r="B42" s="11"/>
      <c r="C42" s="27" t="s">
        <v>333</v>
      </c>
      <c r="D42" s="23"/>
      <c r="E42" s="23"/>
      <c r="F42" s="23"/>
      <c r="G42" s="23"/>
      <c r="H42" s="23"/>
      <c r="I42" s="23"/>
      <c r="J42" s="23"/>
      <c r="K42" s="23"/>
      <c r="L42" s="23"/>
      <c r="M42" s="12"/>
    </row>
    <row r="43" spans="1:15" ht="19.5" customHeight="1">
      <c r="A43" s="2"/>
      <c r="B43" s="11"/>
      <c r="C43" s="27" t="s">
        <v>334</v>
      </c>
      <c r="D43" s="23"/>
      <c r="E43" s="23"/>
      <c r="F43" s="23"/>
      <c r="G43" s="23"/>
      <c r="H43" s="23"/>
      <c r="I43" s="23"/>
      <c r="J43" s="23"/>
      <c r="K43" s="23"/>
      <c r="L43" s="23"/>
      <c r="M43" s="12"/>
    </row>
    <row r="44" spans="1:15" ht="19.5" customHeight="1">
      <c r="A44" s="2"/>
      <c r="B44" s="11"/>
      <c r="C44" s="27"/>
      <c r="D44" s="23"/>
      <c r="E44" s="23"/>
      <c r="F44" s="23"/>
      <c r="G44" s="23"/>
      <c r="H44" s="23"/>
      <c r="I44" s="23"/>
      <c r="J44" s="23"/>
      <c r="K44" s="23"/>
      <c r="L44" s="23"/>
      <c r="M44" s="12"/>
    </row>
    <row r="45" spans="1:15" ht="19.5" customHeight="1">
      <c r="A45" s="2"/>
      <c r="B45" s="11"/>
      <c r="C45" s="28" t="s">
        <v>335</v>
      </c>
      <c r="D45" s="29"/>
      <c r="E45" s="29"/>
      <c r="F45" s="29"/>
      <c r="G45" s="29"/>
      <c r="H45" s="29"/>
      <c r="I45" s="29"/>
      <c r="J45" s="29"/>
      <c r="K45" s="29"/>
      <c r="L45" s="29"/>
      <c r="M45" s="12"/>
      <c r="O45" s="24"/>
    </row>
    <row r="46" spans="1:15" ht="19.5" customHeight="1">
      <c r="A46" s="2"/>
      <c r="B46" s="11"/>
      <c r="C46" s="28" t="s">
        <v>336</v>
      </c>
      <c r="D46" s="29"/>
      <c r="E46" s="29"/>
      <c r="F46" s="29"/>
      <c r="G46" s="29"/>
      <c r="H46" s="29"/>
      <c r="I46" s="29"/>
      <c r="J46" s="29"/>
      <c r="K46" s="29"/>
      <c r="L46" s="29"/>
      <c r="M46" s="12"/>
      <c r="O46" s="24"/>
    </row>
    <row r="47" spans="1:15" ht="19.5" customHeight="1">
      <c r="A47" s="2"/>
      <c r="B47" s="11"/>
      <c r="C47" s="28" t="s">
        <v>337</v>
      </c>
      <c r="D47" s="29"/>
      <c r="E47" s="29"/>
      <c r="F47" s="29"/>
      <c r="G47" s="29"/>
      <c r="H47" s="29"/>
      <c r="I47" s="29"/>
      <c r="J47" s="29"/>
      <c r="K47" s="29"/>
      <c r="L47" s="29"/>
      <c r="M47" s="12"/>
      <c r="O47" s="24"/>
    </row>
    <row r="48" spans="1:15" ht="19.5" customHeight="1">
      <c r="A48" s="2"/>
      <c r="B48" s="11"/>
      <c r="C48" s="28" t="s">
        <v>338</v>
      </c>
      <c r="D48" s="29"/>
      <c r="E48" s="29"/>
      <c r="F48" s="29"/>
      <c r="G48" s="29"/>
      <c r="H48" s="29"/>
      <c r="I48" s="29"/>
      <c r="J48" s="29"/>
      <c r="K48" s="29"/>
      <c r="L48" s="29"/>
      <c r="M48" s="12"/>
      <c r="O48" s="24"/>
    </row>
    <row r="49" spans="1:15" ht="19.5" customHeight="1">
      <c r="A49" s="2"/>
      <c r="B49" s="11"/>
      <c r="C49" s="28" t="s">
        <v>339</v>
      </c>
      <c r="D49" s="29"/>
      <c r="E49" s="29"/>
      <c r="F49" s="29"/>
      <c r="G49" s="29"/>
      <c r="H49" s="29"/>
      <c r="I49" s="29"/>
      <c r="J49" s="29"/>
      <c r="K49" s="29"/>
      <c r="L49" s="29"/>
      <c r="M49" s="12"/>
      <c r="O49" s="24"/>
    </row>
    <row r="50" spans="1:15" ht="19.5" customHeight="1">
      <c r="A50" s="2"/>
      <c r="B50" s="11"/>
      <c r="C50" s="28"/>
      <c r="D50" s="29"/>
      <c r="E50" s="29"/>
      <c r="F50" s="29"/>
      <c r="G50" s="29"/>
      <c r="H50" s="29"/>
      <c r="I50" s="29"/>
      <c r="J50" s="29"/>
      <c r="K50" s="29"/>
      <c r="L50" s="29"/>
      <c r="M50" s="12"/>
    </row>
    <row r="51" spans="1:15" ht="19.5" customHeight="1">
      <c r="A51" s="2"/>
      <c r="B51" s="11"/>
      <c r="C51" s="30" t="s">
        <v>340</v>
      </c>
      <c r="D51" s="29"/>
      <c r="E51" s="29"/>
      <c r="F51" s="29"/>
      <c r="G51" s="29"/>
      <c r="H51" s="29"/>
      <c r="I51" s="29"/>
      <c r="J51" s="29"/>
      <c r="K51" s="29"/>
      <c r="L51" s="29"/>
      <c r="M51" s="12"/>
    </row>
    <row r="52" spans="1:15" ht="19.5" customHeight="1">
      <c r="A52" s="2"/>
      <c r="B52" s="11"/>
      <c r="C52" s="30" t="s">
        <v>296</v>
      </c>
      <c r="D52" s="29"/>
      <c r="E52" s="29"/>
      <c r="F52" s="29"/>
      <c r="G52" s="29"/>
      <c r="H52" s="29"/>
      <c r="I52" s="29"/>
      <c r="J52" s="29"/>
      <c r="K52" s="29"/>
      <c r="L52" s="29"/>
      <c r="M52" s="12"/>
    </row>
    <row r="53" spans="1:15" ht="19.5" customHeight="1" thickBot="1">
      <c r="A53" s="2"/>
      <c r="B53" s="31"/>
      <c r="C53" s="32"/>
      <c r="D53" s="32"/>
      <c r="E53" s="32"/>
      <c r="F53" s="32"/>
      <c r="G53" s="32"/>
      <c r="H53" s="32"/>
      <c r="I53" s="32"/>
      <c r="J53" s="32"/>
      <c r="K53" s="32"/>
      <c r="L53" s="32"/>
      <c r="M53" s="33" t="s">
        <v>341</v>
      </c>
    </row>
    <row r="54" spans="1:15" ht="19.5" customHeight="1" thickTop="1">
      <c r="A54" s="2"/>
      <c r="B54" s="2"/>
      <c r="C54" s="2"/>
      <c r="D54" s="2"/>
      <c r="E54" s="2"/>
      <c r="F54" s="2"/>
      <c r="G54" s="2"/>
      <c r="H54" s="2"/>
      <c r="I54" s="2"/>
      <c r="J54" s="2"/>
      <c r="K54" s="2"/>
      <c r="L54" s="2"/>
      <c r="M54" s="2"/>
    </row>
  </sheetData>
  <hyperlinks>
    <hyperlink ref="C51" r:id="rId1" xr:uid="{7239CD2C-6806-4DEB-901B-C0F2408E22CF}"/>
    <hyperlink ref="C52" r:id="rId2" xr:uid="{44ED5044-2943-4339-AD77-936DE9063413}"/>
    <hyperlink ref="C15" location="Model!A1" tooltip="Model" display="Model" xr:uid="{4172E6D1-3173-41C3-82BC-AD921D1F1BD4}"/>
  </hyperlinks>
  <printOptions horizontalCentered="1"/>
  <pageMargins left="0.7" right="0.7" top="0.75" bottom="0.75" header="0.3" footer="0.3"/>
  <pageSetup scale="48" orientation="landscape" horizontalDpi="300" verticalDpi="300"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13"/>
  </sheetPr>
  <dimension ref="A1:B1"/>
  <sheetViews>
    <sheetView workbookViewId="0">
      <selection activeCell="B1" sqref="B1"/>
    </sheetView>
  </sheetViews>
  <sheetFormatPr defaultRowHeight="12.3"/>
  <sheetData>
    <row r="1" spans="1:2">
      <c r="B1" t="s">
        <v>14</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pageSetUpPr fitToPage="1"/>
  </sheetPr>
  <dimension ref="A1:K615"/>
  <sheetViews>
    <sheetView showGridLines="0" zoomScaleNormal="100" zoomScaleSheetLayoutView="85" workbookViewId="0"/>
  </sheetViews>
  <sheetFormatPr defaultColWidth="9.1640625" defaultRowHeight="13.5" customHeight="1" outlineLevelRow="2"/>
  <cols>
    <col min="1" max="1" width="2.71875" style="34" customWidth="1"/>
    <col min="2" max="11" width="11.71875" style="34" customWidth="1"/>
    <col min="12" max="16384" width="9.1640625" style="34"/>
  </cols>
  <sheetData>
    <row r="1" spans="1:11" s="1" customFormat="1" ht="50.1" customHeight="1">
      <c r="B1" s="8"/>
      <c r="C1" s="8"/>
      <c r="D1" s="8"/>
      <c r="E1" s="8"/>
      <c r="F1" s="8"/>
      <c r="G1" s="8"/>
      <c r="H1" s="8"/>
      <c r="I1" s="8"/>
      <c r="J1" s="8"/>
      <c r="K1" s="8"/>
    </row>
    <row r="2" spans="1:11" ht="13.5" customHeight="1">
      <c r="B2" s="35"/>
      <c r="D2" s="36"/>
      <c r="E2" s="36"/>
      <c r="F2" s="36"/>
    </row>
    <row r="3" spans="1:11" ht="13.5" customHeight="1" outlineLevel="1">
      <c r="A3" s="37"/>
      <c r="B3" s="38" t="s">
        <v>111</v>
      </c>
      <c r="C3" s="37"/>
      <c r="D3" s="39"/>
      <c r="E3" s="39"/>
      <c r="F3" s="202">
        <v>1</v>
      </c>
      <c r="G3" s="40">
        <f>F3</f>
        <v>1</v>
      </c>
      <c r="H3" s="40">
        <f>G3</f>
        <v>1</v>
      </c>
      <c r="I3" s="40">
        <f t="shared" ref="I3:K3" si="0">H3</f>
        <v>1</v>
      </c>
      <c r="J3" s="40">
        <f t="shared" si="0"/>
        <v>1</v>
      </c>
      <c r="K3" s="40">
        <f t="shared" si="0"/>
        <v>1</v>
      </c>
    </row>
    <row r="4" spans="1:11" ht="13.5" customHeight="1" outlineLevel="1" thickBot="1">
      <c r="B4" s="35"/>
      <c r="D4" s="36"/>
      <c r="E4" s="36"/>
      <c r="F4" s="36"/>
    </row>
    <row r="5" spans="1:11" ht="20.7" thickTop="1">
      <c r="A5" s="41" t="s">
        <v>286</v>
      </c>
      <c r="B5" s="42" t="s">
        <v>170</v>
      </c>
      <c r="C5" s="43"/>
      <c r="D5" s="44"/>
      <c r="E5" s="44"/>
      <c r="F5" s="44"/>
      <c r="G5" s="44"/>
      <c r="H5" s="44"/>
      <c r="I5" s="44"/>
      <c r="J5" s="44"/>
      <c r="K5" s="44"/>
    </row>
    <row r="6" spans="1:11" ht="5.0999999999999996" customHeight="1" outlineLevel="1">
      <c r="B6" s="45"/>
      <c r="C6" s="46"/>
    </row>
    <row r="7" spans="1:11" ht="13.5" customHeight="1" outlineLevel="1">
      <c r="B7" s="47"/>
      <c r="C7" s="47"/>
      <c r="D7" s="47"/>
      <c r="E7" s="48"/>
      <c r="F7" s="49" t="s">
        <v>285</v>
      </c>
      <c r="G7" s="50" t="s">
        <v>284</v>
      </c>
      <c r="H7" s="50"/>
      <c r="I7" s="50"/>
      <c r="J7" s="50"/>
      <c r="K7" s="50"/>
    </row>
    <row r="8" spans="1:11" ht="13.5" customHeight="1" outlineLevel="1" thickBot="1">
      <c r="B8" s="51" t="s">
        <v>9</v>
      </c>
      <c r="C8" s="52"/>
      <c r="D8" s="52"/>
      <c r="E8" s="53"/>
      <c r="F8" s="203">
        <v>44926</v>
      </c>
      <c r="G8" s="54">
        <f t="shared" ref="G8:K8" si="1">EOMONTH(F8,12)</f>
        <v>45291</v>
      </c>
      <c r="H8" s="54">
        <f t="shared" si="1"/>
        <v>45657</v>
      </c>
      <c r="I8" s="54">
        <f t="shared" si="1"/>
        <v>46022</v>
      </c>
      <c r="J8" s="54">
        <f t="shared" si="1"/>
        <v>46387</v>
      </c>
      <c r="K8" s="54">
        <f t="shared" si="1"/>
        <v>46752</v>
      </c>
    </row>
    <row r="9" spans="1:11" ht="5.0999999999999996" customHeight="1" outlineLevel="1">
      <c r="B9" s="55"/>
      <c r="C9" s="55"/>
      <c r="D9" s="55"/>
      <c r="E9" s="56"/>
      <c r="F9" s="56"/>
      <c r="G9" s="56"/>
      <c r="H9" s="56"/>
      <c r="I9" s="56"/>
      <c r="J9" s="56"/>
    </row>
    <row r="10" spans="1:11" ht="13.5" customHeight="1" outlineLevel="1">
      <c r="B10" s="57" t="s">
        <v>45</v>
      </c>
      <c r="C10" s="57"/>
      <c r="D10" s="57"/>
      <c r="E10" s="57"/>
      <c r="F10" s="204">
        <v>440.8</v>
      </c>
      <c r="G10" s="58">
        <f>F10*(1+G51*G3)</f>
        <v>462.84000000000003</v>
      </c>
      <c r="H10" s="58">
        <f t="shared" ref="H10:K10" si="2">G10*(1+H51*H3)</f>
        <v>485.98200000000003</v>
      </c>
      <c r="I10" s="58">
        <f t="shared" si="2"/>
        <v>510.28110000000004</v>
      </c>
      <c r="J10" s="58">
        <f t="shared" si="2"/>
        <v>535.79515500000002</v>
      </c>
      <c r="K10" s="58">
        <f t="shared" si="2"/>
        <v>562.58491275000006</v>
      </c>
    </row>
    <row r="11" spans="1:11" ht="13.5" customHeight="1" outlineLevel="1">
      <c r="B11" s="59" t="s">
        <v>44</v>
      </c>
      <c r="C11" s="59"/>
      <c r="D11" s="59"/>
      <c r="E11" s="59"/>
      <c r="F11" s="205">
        <v>234.4</v>
      </c>
      <c r="G11" s="60">
        <f>G$10*G55</f>
        <v>246.12</v>
      </c>
      <c r="H11" s="60">
        <f t="shared" ref="H11:K11" si="3">H$10*H55</f>
        <v>258.42599999999999</v>
      </c>
      <c r="I11" s="60">
        <f t="shared" si="3"/>
        <v>271.34730000000002</v>
      </c>
      <c r="J11" s="60">
        <f t="shared" si="3"/>
        <v>284.91466500000001</v>
      </c>
      <c r="K11" s="60">
        <f t="shared" si="3"/>
        <v>299.16039825000001</v>
      </c>
    </row>
    <row r="12" spans="1:11" ht="13.5" customHeight="1" outlineLevel="1">
      <c r="B12" s="61" t="s">
        <v>46</v>
      </c>
      <c r="C12" s="61"/>
      <c r="D12" s="61"/>
      <c r="E12" s="61"/>
      <c r="F12" s="62">
        <f t="shared" ref="F12:K12" si="4">F10-F11</f>
        <v>206.4</v>
      </c>
      <c r="G12" s="62">
        <f t="shared" si="4"/>
        <v>216.72000000000003</v>
      </c>
      <c r="H12" s="62">
        <f t="shared" si="4"/>
        <v>227.55600000000004</v>
      </c>
      <c r="I12" s="62">
        <f t="shared" si="4"/>
        <v>238.93380000000002</v>
      </c>
      <c r="J12" s="62">
        <f t="shared" si="4"/>
        <v>250.88049000000001</v>
      </c>
      <c r="K12" s="62">
        <f t="shared" si="4"/>
        <v>263.42451450000004</v>
      </c>
    </row>
    <row r="13" spans="1:11" ht="13.5" customHeight="1" outlineLevel="1">
      <c r="B13" s="59" t="s">
        <v>47</v>
      </c>
      <c r="C13" s="59"/>
      <c r="D13" s="59"/>
      <c r="E13" s="59"/>
      <c r="F13" s="205">
        <v>79.599999999999994</v>
      </c>
      <c r="G13" s="60">
        <f>G$10*G56</f>
        <v>83.58</v>
      </c>
      <c r="H13" s="60">
        <f t="shared" ref="H13:K13" si="5">H$10*H56</f>
        <v>87.758999999999986</v>
      </c>
      <c r="I13" s="60">
        <f t="shared" si="5"/>
        <v>92.14694999999999</v>
      </c>
      <c r="J13" s="60">
        <f t="shared" si="5"/>
        <v>96.754297499999993</v>
      </c>
      <c r="K13" s="60">
        <f t="shared" si="5"/>
        <v>101.592012375</v>
      </c>
    </row>
    <row r="14" spans="1:11" ht="13.5" customHeight="1" outlineLevel="1">
      <c r="B14" s="63" t="s">
        <v>48</v>
      </c>
      <c r="C14" s="63"/>
      <c r="D14" s="63"/>
      <c r="E14" s="63"/>
      <c r="F14" s="64">
        <f t="shared" ref="F14:K14" si="6">F12-F13</f>
        <v>126.80000000000001</v>
      </c>
      <c r="G14" s="64">
        <f t="shared" si="6"/>
        <v>133.14000000000004</v>
      </c>
      <c r="H14" s="64">
        <f t="shared" si="6"/>
        <v>139.79700000000005</v>
      </c>
      <c r="I14" s="64">
        <f t="shared" si="6"/>
        <v>146.78685000000002</v>
      </c>
      <c r="J14" s="64">
        <f t="shared" si="6"/>
        <v>154.1261925</v>
      </c>
      <c r="K14" s="64">
        <f t="shared" si="6"/>
        <v>161.83250212500005</v>
      </c>
    </row>
    <row r="15" spans="1:11" ht="13.5" customHeight="1" outlineLevel="1">
      <c r="B15" s="59" t="s">
        <v>49</v>
      </c>
      <c r="C15" s="59"/>
      <c r="D15" s="59"/>
      <c r="E15" s="59"/>
      <c r="F15" s="205">
        <v>14</v>
      </c>
      <c r="G15" s="60">
        <f>G$10*G57</f>
        <v>14.700000000000001</v>
      </c>
      <c r="H15" s="60">
        <f>H$10*H57</f>
        <v>15.435</v>
      </c>
      <c r="I15" s="60">
        <f>I$10*I57</f>
        <v>16.20675</v>
      </c>
      <c r="J15" s="60">
        <f>J$10*J57</f>
        <v>17.017087499999999</v>
      </c>
      <c r="K15" s="60">
        <f>K$10*K57</f>
        <v>17.867941875</v>
      </c>
    </row>
    <row r="16" spans="1:11" ht="13.5" customHeight="1" outlineLevel="1">
      <c r="B16" s="59" t="s">
        <v>50</v>
      </c>
      <c r="C16" s="59"/>
      <c r="D16" s="59"/>
      <c r="E16" s="59"/>
      <c r="F16" s="205">
        <v>11.6</v>
      </c>
      <c r="G16" s="60">
        <f>MIN(F16/F3,F94)</f>
        <v>11.6</v>
      </c>
      <c r="H16" s="60">
        <f>MIN(G16/G3,G94)</f>
        <v>11.6</v>
      </c>
      <c r="I16" s="60">
        <f>MIN(H16/H3,H94)</f>
        <v>11.6</v>
      </c>
      <c r="J16" s="60">
        <f>MIN(I16/I3,I94)</f>
        <v>2.6909999999999989</v>
      </c>
      <c r="K16" s="60">
        <f>MIN(J16/J3,J94)</f>
        <v>0</v>
      </c>
    </row>
    <row r="17" spans="2:11" ht="13.5" customHeight="1" outlineLevel="1">
      <c r="B17" s="59" t="s">
        <v>51</v>
      </c>
      <c r="C17" s="59"/>
      <c r="D17" s="59"/>
      <c r="E17" s="59"/>
      <c r="F17" s="205">
        <v>10.8</v>
      </c>
      <c r="G17" s="60">
        <f>G$10*G59</f>
        <v>11.34</v>
      </c>
      <c r="H17" s="60">
        <f>H$10*H59</f>
        <v>11.907</v>
      </c>
      <c r="I17" s="60">
        <f>I$10*I59</f>
        <v>12.50235</v>
      </c>
      <c r="J17" s="60">
        <f>J$10*J59</f>
        <v>13.1274675</v>
      </c>
      <c r="K17" s="60">
        <f>K$10*K59</f>
        <v>13.783840875000001</v>
      </c>
    </row>
    <row r="18" spans="2:11" ht="13.5" customHeight="1" outlineLevel="1">
      <c r="B18" s="63" t="s">
        <v>52</v>
      </c>
      <c r="C18" s="63"/>
      <c r="D18" s="63"/>
      <c r="E18" s="63"/>
      <c r="F18" s="64">
        <f t="shared" ref="F18:K18" si="7">F14-SUM(F15:F17)</f>
        <v>90.4</v>
      </c>
      <c r="G18" s="64">
        <f t="shared" si="7"/>
        <v>95.500000000000043</v>
      </c>
      <c r="H18" s="64">
        <f t="shared" si="7"/>
        <v>100.85500000000005</v>
      </c>
      <c r="I18" s="64">
        <f t="shared" si="7"/>
        <v>106.47775000000001</v>
      </c>
      <c r="J18" s="64">
        <f t="shared" si="7"/>
        <v>121.2906375</v>
      </c>
      <c r="K18" s="64">
        <f t="shared" si="7"/>
        <v>130.18071937500005</v>
      </c>
    </row>
    <row r="19" spans="2:11" ht="13.5" customHeight="1" outlineLevel="1">
      <c r="B19" s="65" t="s">
        <v>53</v>
      </c>
      <c r="C19" s="65"/>
      <c r="D19" s="65"/>
      <c r="E19" s="65"/>
      <c r="F19" s="66">
        <f>F18+F16+F17</f>
        <v>112.8</v>
      </c>
      <c r="G19" s="66">
        <f t="shared" ref="G19:K19" si="8">G18+G16+G17</f>
        <v>118.44000000000004</v>
      </c>
      <c r="H19" s="66">
        <f t="shared" si="8"/>
        <v>124.36200000000004</v>
      </c>
      <c r="I19" s="66">
        <f t="shared" si="8"/>
        <v>130.58010000000002</v>
      </c>
      <c r="J19" s="66">
        <f t="shared" si="8"/>
        <v>137.109105</v>
      </c>
      <c r="K19" s="66">
        <f t="shared" si="8"/>
        <v>143.96456025000006</v>
      </c>
    </row>
    <row r="20" spans="2:11" ht="13.5" customHeight="1" outlineLevel="1">
      <c r="B20" s="67" t="s">
        <v>54</v>
      </c>
      <c r="C20" s="65"/>
      <c r="D20" s="65"/>
      <c r="E20" s="65"/>
      <c r="F20" s="66"/>
      <c r="G20" s="66"/>
      <c r="H20" s="66"/>
      <c r="I20" s="66"/>
      <c r="J20" s="66"/>
      <c r="K20" s="66"/>
    </row>
    <row r="21" spans="2:11" ht="13.5" customHeight="1" outlineLevel="1">
      <c r="B21" s="68" t="s">
        <v>11</v>
      </c>
      <c r="C21" s="65"/>
      <c r="D21" s="65"/>
      <c r="E21" s="65"/>
      <c r="F21" s="226" t="s">
        <v>7</v>
      </c>
      <c r="G21" s="60">
        <f>-G278*IF($D$314,AVERAGE(F84:G84),F84)*G$3</f>
        <v>-0.39276499999999998</v>
      </c>
      <c r="H21" s="60">
        <f ca="1">-H278*IF($D$314,AVERAGE(G84:H84),G84)*H$3</f>
        <v>-0.59675232505971099</v>
      </c>
      <c r="I21" s="60">
        <f ca="1">-I278*IF($D$314,AVERAGE(H84:I84),H84)*I$3</f>
        <v>-0.78474334382460675</v>
      </c>
      <c r="J21" s="60">
        <f ca="1">-J278*IF($D$314,AVERAGE(I84:J84),I84)*J$3</f>
        <v>-0.98216615077161296</v>
      </c>
      <c r="K21" s="60">
        <f ca="1">-K278*IF($D$314,AVERAGE(J84:K84),J84)*K$3</f>
        <v>-1.1546510059328332</v>
      </c>
    </row>
    <row r="22" spans="2:11" ht="13.5" customHeight="1" outlineLevel="1">
      <c r="B22" s="68" t="s">
        <v>157</v>
      </c>
      <c r="C22" s="65"/>
      <c r="D22" s="65"/>
      <c r="E22" s="65"/>
      <c r="F22" s="226" t="s">
        <v>7</v>
      </c>
      <c r="G22" s="60">
        <f>G291</f>
        <v>1.1984587500000001</v>
      </c>
      <c r="H22" s="60">
        <f t="shared" ref="H22:K22" ca="1" si="9">H291</f>
        <v>0</v>
      </c>
      <c r="I22" s="60">
        <f t="shared" ca="1" si="9"/>
        <v>0</v>
      </c>
      <c r="J22" s="60">
        <f t="shared" ca="1" si="9"/>
        <v>0</v>
      </c>
      <c r="K22" s="60">
        <f t="shared" ca="1" si="9"/>
        <v>0</v>
      </c>
    </row>
    <row r="23" spans="2:11" ht="13.5" customHeight="1" outlineLevel="1">
      <c r="B23" s="68" t="s">
        <v>158</v>
      </c>
      <c r="C23" s="65"/>
      <c r="D23" s="65"/>
      <c r="E23" s="65"/>
      <c r="F23" s="226" t="s">
        <v>7</v>
      </c>
      <c r="G23" s="60">
        <f>G289</f>
        <v>0.42499999999999999</v>
      </c>
      <c r="H23" s="60">
        <f t="shared" ref="H23:K23" ca="1" si="10">H289</f>
        <v>0.5</v>
      </c>
      <c r="I23" s="60">
        <f t="shared" ca="1" si="10"/>
        <v>0.5</v>
      </c>
      <c r="J23" s="60">
        <f t="shared" ca="1" si="10"/>
        <v>0.5</v>
      </c>
      <c r="K23" s="60">
        <f t="shared" ca="1" si="10"/>
        <v>0.5</v>
      </c>
    </row>
    <row r="24" spans="2:11" ht="13.5" customHeight="1" outlineLevel="1">
      <c r="B24" s="68" t="s">
        <v>300</v>
      </c>
      <c r="C24" s="65"/>
      <c r="D24" s="65"/>
      <c r="E24" s="65"/>
      <c r="F24" s="226" t="s">
        <v>7</v>
      </c>
      <c r="G24" s="60">
        <f>G292</f>
        <v>0</v>
      </c>
      <c r="H24" s="60">
        <f t="shared" ref="H24:K26" ca="1" si="11">H292</f>
        <v>0</v>
      </c>
      <c r="I24" s="60">
        <f t="shared" ca="1" si="11"/>
        <v>0</v>
      </c>
      <c r="J24" s="60">
        <f t="shared" ca="1" si="11"/>
        <v>0</v>
      </c>
      <c r="K24" s="60">
        <f t="shared" ca="1" si="11"/>
        <v>0</v>
      </c>
    </row>
    <row r="25" spans="2:11" ht="13.5" customHeight="1" outlineLevel="1">
      <c r="B25" s="68" t="s">
        <v>301</v>
      </c>
      <c r="C25" s="65"/>
      <c r="D25" s="65"/>
      <c r="E25" s="65"/>
      <c r="F25" s="226" t="s">
        <v>7</v>
      </c>
      <c r="G25" s="60">
        <f>G293</f>
        <v>3.7537500000000001</v>
      </c>
      <c r="H25" s="60">
        <f t="shared" ca="1" si="11"/>
        <v>3.7537500000000001</v>
      </c>
      <c r="I25" s="60">
        <f t="shared" ca="1" si="11"/>
        <v>3.7537500000000001</v>
      </c>
      <c r="J25" s="60">
        <f t="shared" ca="1" si="11"/>
        <v>3.7537500000000001</v>
      </c>
      <c r="K25" s="60">
        <f t="shared" ca="1" si="11"/>
        <v>3.7537500000000001</v>
      </c>
    </row>
    <row r="26" spans="2:11" ht="13.5" customHeight="1" outlineLevel="1">
      <c r="B26" s="68" t="s">
        <v>302</v>
      </c>
      <c r="C26" s="65"/>
      <c r="D26" s="65"/>
      <c r="E26" s="65"/>
      <c r="F26" s="226" t="s">
        <v>7</v>
      </c>
      <c r="G26" s="60">
        <f>G294</f>
        <v>18.05</v>
      </c>
      <c r="H26" s="60">
        <f t="shared" si="11"/>
        <v>18.907375000000002</v>
      </c>
      <c r="I26" s="60">
        <f t="shared" si="11"/>
        <v>19.8054753125</v>
      </c>
      <c r="J26" s="60">
        <f t="shared" si="11"/>
        <v>20.746235389843751</v>
      </c>
      <c r="K26" s="60">
        <f t="shared" si="11"/>
        <v>20.746235389843751</v>
      </c>
    </row>
    <row r="27" spans="2:11" ht="13.5" customHeight="1" outlineLevel="1">
      <c r="B27" s="69" t="s">
        <v>54</v>
      </c>
      <c r="C27" s="69"/>
      <c r="D27" s="69"/>
      <c r="E27" s="70"/>
      <c r="F27" s="206">
        <v>19</v>
      </c>
      <c r="G27" s="71">
        <f ca="1">SUM(G21:OFFSET(G27,-1,0))</f>
        <v>23.034443750000001</v>
      </c>
      <c r="H27" s="71">
        <f ca="1">SUM(H21:OFFSET(H27,-1,0))</f>
        <v>22.564372674940291</v>
      </c>
      <c r="I27" s="71">
        <f ca="1">SUM(I21:OFFSET(I27,-1,0))</f>
        <v>23.274481968675396</v>
      </c>
      <c r="J27" s="71">
        <f ca="1">SUM(J21:OFFSET(J27,-1,0))</f>
        <v>24.017819239072139</v>
      </c>
      <c r="K27" s="71">
        <f ca="1">SUM(K21:OFFSET(K27,-1,0))</f>
        <v>23.845334383910917</v>
      </c>
    </row>
    <row r="28" spans="2:11" ht="13.5" customHeight="1" outlineLevel="1">
      <c r="B28" s="72" t="s">
        <v>172</v>
      </c>
      <c r="C28" s="72"/>
      <c r="D28" s="72"/>
      <c r="E28" s="72"/>
      <c r="F28" s="207">
        <v>0</v>
      </c>
      <c r="G28" s="60">
        <f>G332</f>
        <v>0</v>
      </c>
      <c r="H28" s="60">
        <f t="shared" ref="H28:K28" si="12">H332</f>
        <v>0</v>
      </c>
      <c r="I28" s="60">
        <f t="shared" si="12"/>
        <v>0</v>
      </c>
      <c r="J28" s="60">
        <f t="shared" si="12"/>
        <v>0</v>
      </c>
      <c r="K28" s="60">
        <f t="shared" si="12"/>
        <v>0</v>
      </c>
    </row>
    <row r="29" spans="2:11" ht="13.5" customHeight="1" outlineLevel="1">
      <c r="B29" s="59" t="s">
        <v>55</v>
      </c>
      <c r="C29" s="59"/>
      <c r="D29" s="59"/>
      <c r="E29" s="59"/>
      <c r="F29" s="207">
        <v>0</v>
      </c>
      <c r="G29" s="60">
        <f>F29</f>
        <v>0</v>
      </c>
      <c r="H29" s="60">
        <f t="shared" ref="H29:K29" si="13">G29</f>
        <v>0</v>
      </c>
      <c r="I29" s="60">
        <f t="shared" si="13"/>
        <v>0</v>
      </c>
      <c r="J29" s="60">
        <f t="shared" si="13"/>
        <v>0</v>
      </c>
      <c r="K29" s="60">
        <f t="shared" si="13"/>
        <v>0</v>
      </c>
    </row>
    <row r="30" spans="2:11" ht="13.5" customHeight="1" outlineLevel="1">
      <c r="B30" s="61" t="s">
        <v>56</v>
      </c>
      <c r="C30" s="61"/>
      <c r="D30" s="61"/>
      <c r="E30" s="61"/>
      <c r="F30" s="62">
        <f t="shared" ref="F30:K30" si="14">F18-F27+F28-F29</f>
        <v>71.400000000000006</v>
      </c>
      <c r="G30" s="62">
        <f t="shared" ca="1" si="14"/>
        <v>72.465556250000049</v>
      </c>
      <c r="H30" s="62">
        <f t="shared" ca="1" si="14"/>
        <v>78.290627325059759</v>
      </c>
      <c r="I30" s="62">
        <f t="shared" ca="1" si="14"/>
        <v>83.203268031324626</v>
      </c>
      <c r="J30" s="62">
        <f t="shared" ca="1" si="14"/>
        <v>97.272818260927863</v>
      </c>
      <c r="K30" s="62">
        <f t="shared" ca="1" si="14"/>
        <v>106.33538499108914</v>
      </c>
    </row>
    <row r="31" spans="2:11" ht="13.5" customHeight="1" outlineLevel="1">
      <c r="B31" s="59" t="s">
        <v>57</v>
      </c>
      <c r="C31" s="59"/>
      <c r="D31" s="59"/>
      <c r="E31" s="59"/>
      <c r="F31" s="205">
        <v>28.4</v>
      </c>
      <c r="G31" s="60">
        <f ca="1">G30*G73-G342</f>
        <v>28.986693526115648</v>
      </c>
      <c r="H31" s="60">
        <f ca="1">H30*H73-H342</f>
        <v>31.31675981910152</v>
      </c>
      <c r="I31" s="60">
        <f ca="1">I30*I73-I342</f>
        <v>33.281848033772057</v>
      </c>
      <c r="J31" s="60">
        <f ca="1">J30*J73-J342</f>
        <v>38.909759577689847</v>
      </c>
      <c r="K31" s="60">
        <f ca="1">K30*K73-K342</f>
        <v>42.534845176438104</v>
      </c>
    </row>
    <row r="32" spans="2:11" ht="13.5" customHeight="1" outlineLevel="1">
      <c r="B32" s="73" t="s">
        <v>59</v>
      </c>
      <c r="C32" s="73"/>
      <c r="D32" s="73"/>
      <c r="E32" s="73"/>
      <c r="F32" s="64">
        <f>F30-F31</f>
        <v>43.000000000000007</v>
      </c>
      <c r="G32" s="64">
        <f t="shared" ref="G32:K32" ca="1" si="15">G30-G31</f>
        <v>43.478862723884404</v>
      </c>
      <c r="H32" s="64">
        <f t="shared" ca="1" si="15"/>
        <v>46.973867505958239</v>
      </c>
      <c r="I32" s="64">
        <f t="shared" ca="1" si="15"/>
        <v>49.921419997552569</v>
      </c>
      <c r="J32" s="64">
        <f t="shared" ca="1" si="15"/>
        <v>58.363058683238016</v>
      </c>
      <c r="K32" s="64">
        <f t="shared" ca="1" si="15"/>
        <v>63.800539814651039</v>
      </c>
    </row>
    <row r="33" spans="2:11" ht="13.5" customHeight="1" outlineLevel="1">
      <c r="B33" s="72" t="s">
        <v>169</v>
      </c>
      <c r="C33" s="72"/>
      <c r="D33" s="72"/>
      <c r="E33" s="72"/>
      <c r="F33" s="205">
        <v>0</v>
      </c>
      <c r="G33" s="60">
        <f>F33</f>
        <v>0</v>
      </c>
      <c r="H33" s="60">
        <f t="shared" ref="H33:K33" si="16">G33</f>
        <v>0</v>
      </c>
      <c r="I33" s="60">
        <f t="shared" si="16"/>
        <v>0</v>
      </c>
      <c r="J33" s="60">
        <f t="shared" si="16"/>
        <v>0</v>
      </c>
      <c r="K33" s="60">
        <f t="shared" si="16"/>
        <v>0</v>
      </c>
    </row>
    <row r="34" spans="2:11" ht="13.5" customHeight="1" outlineLevel="1">
      <c r="B34" s="72" t="s">
        <v>246</v>
      </c>
      <c r="C34" s="72"/>
      <c r="D34" s="72"/>
      <c r="F34" s="205">
        <v>0</v>
      </c>
      <c r="G34" s="60">
        <f>G302</f>
        <v>0</v>
      </c>
      <c r="H34" s="60">
        <f t="shared" ref="H34:K34" ca="1" si="17">H302</f>
        <v>0</v>
      </c>
      <c r="I34" s="60">
        <f t="shared" ca="1" si="17"/>
        <v>0</v>
      </c>
      <c r="J34" s="60">
        <f t="shared" ca="1" si="17"/>
        <v>0</v>
      </c>
      <c r="K34" s="60">
        <f t="shared" ca="1" si="17"/>
        <v>0</v>
      </c>
    </row>
    <row r="35" spans="2:11" ht="13.5" customHeight="1" outlineLevel="1">
      <c r="B35" s="74" t="s">
        <v>90</v>
      </c>
      <c r="C35" s="74"/>
      <c r="D35" s="74"/>
      <c r="E35" s="74"/>
      <c r="F35" s="75">
        <f t="shared" ref="F35:K35" si="18">F32-F33-F34</f>
        <v>43.000000000000007</v>
      </c>
      <c r="G35" s="75">
        <f t="shared" ca="1" si="18"/>
        <v>43.478862723884404</v>
      </c>
      <c r="H35" s="75">
        <f t="shared" ca="1" si="18"/>
        <v>46.973867505958239</v>
      </c>
      <c r="I35" s="75">
        <f t="shared" ca="1" si="18"/>
        <v>49.921419997552569</v>
      </c>
      <c r="J35" s="75">
        <f t="shared" ca="1" si="18"/>
        <v>58.363058683238016</v>
      </c>
      <c r="K35" s="75">
        <f t="shared" ca="1" si="18"/>
        <v>63.800539814651039</v>
      </c>
    </row>
    <row r="36" spans="2:11" ht="13.5" customHeight="1" outlineLevel="1">
      <c r="B36" s="72"/>
      <c r="C36" s="72"/>
      <c r="D36" s="72"/>
      <c r="G36" s="76"/>
      <c r="H36" s="76"/>
      <c r="I36" s="76"/>
      <c r="J36" s="76"/>
      <c r="K36" s="76"/>
    </row>
    <row r="37" spans="2:11" ht="13.5" customHeight="1" outlineLevel="1">
      <c r="B37" s="67" t="s">
        <v>91</v>
      </c>
      <c r="C37" s="72"/>
      <c r="D37" s="72"/>
      <c r="G37" s="76"/>
      <c r="H37" s="76"/>
      <c r="I37" s="76"/>
      <c r="J37" s="76"/>
      <c r="K37" s="76"/>
    </row>
    <row r="38" spans="2:11" ht="13.5" customHeight="1" outlineLevel="1">
      <c r="B38" s="72" t="s">
        <v>50</v>
      </c>
      <c r="C38" s="72"/>
      <c r="D38" s="72"/>
      <c r="F38" s="77">
        <f>F16*(1-F73)</f>
        <v>6.9859943977591046</v>
      </c>
      <c r="G38" s="77">
        <f t="shared" ref="G38:K38" si="19">G16*(1-G73)</f>
        <v>6.959924599999999</v>
      </c>
      <c r="H38" s="77">
        <f t="shared" si="19"/>
        <v>6.959924599999999</v>
      </c>
      <c r="I38" s="77">
        <f t="shared" si="19"/>
        <v>6.959924599999999</v>
      </c>
      <c r="J38" s="77">
        <f t="shared" si="19"/>
        <v>1.6145825084999992</v>
      </c>
      <c r="K38" s="77">
        <f t="shared" si="19"/>
        <v>0</v>
      </c>
    </row>
    <row r="39" spans="2:11" ht="13.5" customHeight="1" outlineLevel="1">
      <c r="B39" s="72" t="s">
        <v>51</v>
      </c>
      <c r="C39" s="72"/>
      <c r="D39" s="72"/>
      <c r="F39" s="60">
        <f>F17*(1-F73)</f>
        <v>6.5042016806722698</v>
      </c>
      <c r="G39" s="60">
        <f t="shared" ref="G39:K39" si="20">G17*(1-G73)</f>
        <v>6.8039262899999997</v>
      </c>
      <c r="H39" s="60">
        <f t="shared" si="20"/>
        <v>7.1441226044999997</v>
      </c>
      <c r="I39" s="60">
        <f t="shared" si="20"/>
        <v>7.5013287347249991</v>
      </c>
      <c r="J39" s="60">
        <f t="shared" si="20"/>
        <v>7.8763951714612492</v>
      </c>
      <c r="K39" s="60">
        <f t="shared" si="20"/>
        <v>8.270214930034312</v>
      </c>
    </row>
    <row r="40" spans="2:11" ht="13.5" customHeight="1" outlineLevel="1">
      <c r="B40" s="72" t="s">
        <v>58</v>
      </c>
      <c r="C40" s="72"/>
      <c r="D40" s="72"/>
      <c r="F40" s="205">
        <v>0</v>
      </c>
      <c r="G40" s="205">
        <v>0</v>
      </c>
      <c r="H40" s="205">
        <v>0</v>
      </c>
      <c r="I40" s="205">
        <v>0</v>
      </c>
      <c r="J40" s="205">
        <v>0</v>
      </c>
      <c r="K40" s="205">
        <v>0</v>
      </c>
    </row>
    <row r="41" spans="2:11" ht="13.5" customHeight="1" outlineLevel="1">
      <c r="B41" s="74" t="s">
        <v>94</v>
      </c>
      <c r="C41" s="74"/>
      <c r="D41" s="74"/>
      <c r="E41" s="74"/>
      <c r="F41" s="75">
        <f t="shared" ref="F41:K41" si="21">F35+SUM(F38:F40)</f>
        <v>56.490196078431381</v>
      </c>
      <c r="G41" s="75">
        <f t="shared" ca="1" si="21"/>
        <v>57.242713613884405</v>
      </c>
      <c r="H41" s="75">
        <f t="shared" ca="1" si="21"/>
        <v>61.077914710458238</v>
      </c>
      <c r="I41" s="75">
        <f t="shared" ca="1" si="21"/>
        <v>64.382673332277562</v>
      </c>
      <c r="J41" s="75">
        <f t="shared" ca="1" si="21"/>
        <v>67.85403636319927</v>
      </c>
      <c r="K41" s="75">
        <f t="shared" ca="1" si="21"/>
        <v>72.070754744685345</v>
      </c>
    </row>
    <row r="42" spans="2:11" ht="13.5" customHeight="1" outlineLevel="1">
      <c r="B42" s="72"/>
      <c r="C42" s="72"/>
      <c r="D42" s="72"/>
      <c r="G42" s="76"/>
      <c r="H42" s="76"/>
      <c r="I42" s="76"/>
      <c r="J42" s="76"/>
      <c r="K42" s="76"/>
    </row>
    <row r="43" spans="2:11" ht="13.5" customHeight="1" outlineLevel="1">
      <c r="B43" s="65" t="s">
        <v>61</v>
      </c>
      <c r="C43" s="65"/>
      <c r="D43" s="65"/>
      <c r="E43" s="65"/>
      <c r="F43" s="78">
        <f t="shared" ref="F43:K43" si="22">F35/F562</f>
        <v>1.2166572949335681</v>
      </c>
      <c r="G43" s="78">
        <f t="shared" ca="1" si="22"/>
        <v>1.2302064071727707</v>
      </c>
      <c r="H43" s="78">
        <f t="shared" ca="1" si="22"/>
        <v>1.3290953156364413</v>
      </c>
      <c r="I43" s="78">
        <f t="shared" ca="1" si="22"/>
        <v>1.412494414266624</v>
      </c>
      <c r="J43" s="78">
        <f t="shared" ca="1" si="22"/>
        <v>1.3416662358952074</v>
      </c>
      <c r="K43" s="78">
        <f t="shared" ca="1" si="22"/>
        <v>1.466664565436653</v>
      </c>
    </row>
    <row r="44" spans="2:11" ht="13.5" customHeight="1" outlineLevel="1">
      <c r="B44" s="65" t="s">
        <v>60</v>
      </c>
      <c r="C44" s="65"/>
      <c r="D44" s="65"/>
      <c r="E44" s="65"/>
      <c r="F44" s="78">
        <f t="shared" ref="F44:K44" si="23">F41/F562</f>
        <v>1.5983537011872366</v>
      </c>
      <c r="G44" s="78">
        <f t="shared" ca="1" si="23"/>
        <v>1.6196457000029192</v>
      </c>
      <c r="H44" s="78">
        <f t="shared" ca="1" si="23"/>
        <v>1.728160243995565</v>
      </c>
      <c r="I44" s="78">
        <f t="shared" ca="1" si="23"/>
        <v>1.8216662599311717</v>
      </c>
      <c r="J44" s="78">
        <f t="shared" ca="1" si="23"/>
        <v>1.5598474722137246</v>
      </c>
      <c r="K44" s="78">
        <f t="shared" ca="1" si="23"/>
        <v>1.6567825679122539</v>
      </c>
    </row>
    <row r="45" spans="2:11" ht="13.5" customHeight="1" outlineLevel="1">
      <c r="B45" s="72"/>
      <c r="C45" s="72"/>
      <c r="D45" s="72"/>
      <c r="G45" s="76"/>
      <c r="H45" s="76"/>
      <c r="I45" s="76"/>
      <c r="J45" s="76"/>
      <c r="K45" s="76"/>
    </row>
    <row r="46" spans="2:11" ht="13.5" customHeight="1" outlineLevel="1">
      <c r="B46" s="79" t="s">
        <v>62</v>
      </c>
      <c r="C46" s="79"/>
      <c r="D46" s="79"/>
      <c r="F46" s="208">
        <v>15.2</v>
      </c>
      <c r="G46" s="77">
        <f>G$10*G60</f>
        <v>15.96</v>
      </c>
      <c r="H46" s="77">
        <f t="shared" ref="H46:K46" si="24">H$10*H60</f>
        <v>16.757999999999999</v>
      </c>
      <c r="I46" s="77">
        <f t="shared" si="24"/>
        <v>17.5959</v>
      </c>
      <c r="J46" s="77">
        <f t="shared" si="24"/>
        <v>18.475695000000002</v>
      </c>
      <c r="K46" s="77">
        <f t="shared" si="24"/>
        <v>19.399479750000001</v>
      </c>
    </row>
    <row r="47" spans="2:11" ht="13.5" customHeight="1" outlineLevel="1">
      <c r="B47" s="79" t="s">
        <v>113</v>
      </c>
      <c r="C47" s="79"/>
      <c r="D47" s="79"/>
      <c r="F47" s="209">
        <v>0.01</v>
      </c>
      <c r="G47" s="80">
        <f>$F47</f>
        <v>0.01</v>
      </c>
      <c r="H47" s="80">
        <f>$F47</f>
        <v>0.01</v>
      </c>
      <c r="I47" s="80">
        <f t="shared" ref="I47:K47" si="25">$F47</f>
        <v>0.01</v>
      </c>
      <c r="J47" s="80">
        <f t="shared" si="25"/>
        <v>0.01</v>
      </c>
      <c r="K47" s="80">
        <f t="shared" si="25"/>
        <v>0.01</v>
      </c>
    </row>
    <row r="48" spans="2:11" ht="13.5" customHeight="1" outlineLevel="1">
      <c r="B48" s="79"/>
      <c r="C48" s="79"/>
      <c r="D48" s="79"/>
      <c r="F48" s="81"/>
      <c r="G48" s="77"/>
      <c r="H48" s="77"/>
      <c r="I48" s="77"/>
      <c r="J48" s="77"/>
      <c r="K48" s="77"/>
    </row>
    <row r="49" spans="2:11" ht="13.5" customHeight="1" outlineLevel="1">
      <c r="B49" s="82" t="s">
        <v>174</v>
      </c>
      <c r="C49" s="83"/>
      <c r="D49" s="84"/>
      <c r="E49" s="84"/>
      <c r="F49" s="84"/>
      <c r="G49" s="84"/>
      <c r="H49" s="84"/>
      <c r="I49" s="84"/>
      <c r="J49" s="84"/>
      <c r="K49" s="85"/>
    </row>
    <row r="50" spans="2:11" ht="13.5" customHeight="1" outlineLevel="1">
      <c r="B50" s="79"/>
      <c r="C50" s="79"/>
      <c r="D50" s="79"/>
      <c r="F50" s="81"/>
      <c r="G50" s="77"/>
      <c r="H50" s="77"/>
      <c r="I50" s="77"/>
      <c r="J50" s="77"/>
      <c r="K50" s="77"/>
    </row>
    <row r="51" spans="2:11" ht="13.5" customHeight="1" outlineLevel="1">
      <c r="B51" s="72" t="s">
        <v>63</v>
      </c>
      <c r="C51" s="86"/>
      <c r="D51" s="86"/>
      <c r="E51" s="86"/>
      <c r="F51" s="224">
        <f>F10/420.3-1</f>
        <v>4.8774684748988717E-2</v>
      </c>
      <c r="G51" s="210">
        <v>0.05</v>
      </c>
      <c r="H51" s="87">
        <f>G51</f>
        <v>0.05</v>
      </c>
      <c r="I51" s="87">
        <f t="shared" ref="I51:K51" si="26">H51</f>
        <v>0.05</v>
      </c>
      <c r="J51" s="87">
        <f t="shared" si="26"/>
        <v>0.05</v>
      </c>
      <c r="K51" s="87">
        <f t="shared" si="26"/>
        <v>0.05</v>
      </c>
    </row>
    <row r="52" spans="2:11" ht="13.5" customHeight="1" outlineLevel="1">
      <c r="B52" s="72" t="s">
        <v>92</v>
      </c>
      <c r="C52" s="86"/>
      <c r="D52" s="86"/>
      <c r="E52" s="86"/>
      <c r="F52" s="224" t="s">
        <v>7</v>
      </c>
      <c r="G52" s="87">
        <f ca="1">(G35/F35-1)/G$3</f>
        <v>1.1136342415916323E-2</v>
      </c>
      <c r="H52" s="87">
        <f t="shared" ref="H52:K52" ca="1" si="27">(H35/G35-1)/H$3</f>
        <v>8.0383997260211393E-2</v>
      </c>
      <c r="I52" s="87">
        <f t="shared" ca="1" si="27"/>
        <v>6.2748771776572454E-2</v>
      </c>
      <c r="J52" s="87">
        <f t="shared" ca="1" si="27"/>
        <v>0.16909852897011546</v>
      </c>
      <c r="K52" s="87">
        <f t="shared" ca="1" si="27"/>
        <v>9.3166486714218122E-2</v>
      </c>
    </row>
    <row r="53" spans="2:11" ht="13.5" customHeight="1" outlineLevel="1">
      <c r="B53" s="72" t="s">
        <v>93</v>
      </c>
      <c r="C53" s="86"/>
      <c r="D53" s="86"/>
      <c r="E53" s="86"/>
      <c r="F53" s="224" t="s">
        <v>7</v>
      </c>
      <c r="G53" s="87">
        <f ca="1">(G41/F41-1)/G$3</f>
        <v>1.3321205938252145E-2</v>
      </c>
      <c r="H53" s="87">
        <f t="shared" ref="H53:K53" ca="1" si="28">(H41/G41-1)/H$3</f>
        <v>6.6998939331268659E-2</v>
      </c>
      <c r="I53" s="87">
        <f t="shared" ca="1" si="28"/>
        <v>5.4107260169009352E-2</v>
      </c>
      <c r="J53" s="87">
        <f t="shared" ca="1" si="28"/>
        <v>5.3917659072745927E-2</v>
      </c>
      <c r="K53" s="87">
        <f t="shared" ca="1" si="28"/>
        <v>6.2143957935168803E-2</v>
      </c>
    </row>
    <row r="54" spans="2:11" ht="13.5" customHeight="1" outlineLevel="1">
      <c r="B54" s="79"/>
      <c r="C54" s="79"/>
      <c r="D54" s="79"/>
      <c r="F54" s="81"/>
      <c r="G54" s="77"/>
      <c r="H54" s="77"/>
      <c r="I54" s="77"/>
      <c r="J54" s="77"/>
      <c r="K54" s="77"/>
    </row>
    <row r="55" spans="2:11" ht="13.5" customHeight="1" outlineLevel="1">
      <c r="B55" s="72" t="s">
        <v>64</v>
      </c>
      <c r="C55" s="79"/>
      <c r="D55" s="79"/>
      <c r="F55" s="87">
        <f>F11/F$10</f>
        <v>0.53176043557168784</v>
      </c>
      <c r="G55" s="210">
        <f>F55</f>
        <v>0.53176043557168784</v>
      </c>
      <c r="H55" s="87">
        <f t="shared" ref="H55:K55" si="29">G55</f>
        <v>0.53176043557168784</v>
      </c>
      <c r="I55" s="87">
        <f t="shared" si="29"/>
        <v>0.53176043557168784</v>
      </c>
      <c r="J55" s="87">
        <f t="shared" si="29"/>
        <v>0.53176043557168784</v>
      </c>
      <c r="K55" s="87">
        <f t="shared" si="29"/>
        <v>0.53176043557168784</v>
      </c>
    </row>
    <row r="56" spans="2:11" ht="13.5" customHeight="1" outlineLevel="1">
      <c r="B56" s="72" t="s">
        <v>65</v>
      </c>
      <c r="C56" s="79"/>
      <c r="D56" s="79"/>
      <c r="F56" s="87">
        <f>F13/F$10</f>
        <v>0.18058076225045369</v>
      </c>
      <c r="G56" s="210">
        <f t="shared" ref="G56:K60" si="30">F56</f>
        <v>0.18058076225045369</v>
      </c>
      <c r="H56" s="87">
        <f t="shared" si="30"/>
        <v>0.18058076225045369</v>
      </c>
      <c r="I56" s="87">
        <f t="shared" si="30"/>
        <v>0.18058076225045369</v>
      </c>
      <c r="J56" s="87">
        <f t="shared" si="30"/>
        <v>0.18058076225045369</v>
      </c>
      <c r="K56" s="87">
        <f t="shared" si="30"/>
        <v>0.18058076225045369</v>
      </c>
    </row>
    <row r="57" spans="2:11" ht="13.5" customHeight="1" outlineLevel="1">
      <c r="B57" s="72" t="s">
        <v>66</v>
      </c>
      <c r="C57" s="79"/>
      <c r="D57" s="79"/>
      <c r="F57" s="87">
        <f>F15/F$10</f>
        <v>3.1760435571687839E-2</v>
      </c>
      <c r="G57" s="210">
        <f t="shared" si="30"/>
        <v>3.1760435571687839E-2</v>
      </c>
      <c r="H57" s="87">
        <f t="shared" si="30"/>
        <v>3.1760435571687839E-2</v>
      </c>
      <c r="I57" s="87">
        <f t="shared" si="30"/>
        <v>3.1760435571687839E-2</v>
      </c>
      <c r="J57" s="87">
        <f t="shared" si="30"/>
        <v>3.1760435571687839E-2</v>
      </c>
      <c r="K57" s="87">
        <f t="shared" si="30"/>
        <v>3.1760435571687839E-2</v>
      </c>
    </row>
    <row r="58" spans="2:11" ht="13.5" customHeight="1" outlineLevel="1">
      <c r="B58" s="72" t="s">
        <v>67</v>
      </c>
      <c r="C58" s="79"/>
      <c r="D58" s="79"/>
      <c r="F58" s="87">
        <f>F16/F$10</f>
        <v>2.6315789473684209E-2</v>
      </c>
      <c r="G58" s="87">
        <f t="shared" ref="G58:K58" si="31">G16/G$10</f>
        <v>2.5062656641604009E-2</v>
      </c>
      <c r="H58" s="87">
        <f t="shared" si="31"/>
        <v>2.3869196801527628E-2</v>
      </c>
      <c r="I58" s="87">
        <f t="shared" si="31"/>
        <v>2.2732568382407264E-2</v>
      </c>
      <c r="J58" s="87">
        <f t="shared" si="31"/>
        <v>5.0224418322707652E-3</v>
      </c>
      <c r="K58" s="87">
        <f t="shared" si="31"/>
        <v>0</v>
      </c>
    </row>
    <row r="59" spans="2:11" ht="13.5" customHeight="1" outlineLevel="1">
      <c r="B59" s="72" t="s">
        <v>68</v>
      </c>
      <c r="C59" s="79"/>
      <c r="D59" s="79"/>
      <c r="F59" s="87">
        <f t="shared" ref="F59" si="32">F17/F$10</f>
        <v>2.4500907441016333E-2</v>
      </c>
      <c r="G59" s="210">
        <f t="shared" si="30"/>
        <v>2.4500907441016333E-2</v>
      </c>
      <c r="H59" s="87">
        <f t="shared" si="30"/>
        <v>2.4500907441016333E-2</v>
      </c>
      <c r="I59" s="87">
        <f t="shared" si="30"/>
        <v>2.4500907441016333E-2</v>
      </c>
      <c r="J59" s="87">
        <f t="shared" si="30"/>
        <v>2.4500907441016333E-2</v>
      </c>
      <c r="K59" s="87">
        <f t="shared" si="30"/>
        <v>2.4500907441016333E-2</v>
      </c>
    </row>
    <row r="60" spans="2:11" ht="13.5" customHeight="1" outlineLevel="1">
      <c r="B60" s="72" t="s">
        <v>69</v>
      </c>
      <c r="C60" s="79"/>
      <c r="D60" s="79"/>
      <c r="F60" s="87">
        <f>F46/F$10</f>
        <v>3.4482758620689655E-2</v>
      </c>
      <c r="G60" s="210">
        <f t="shared" si="30"/>
        <v>3.4482758620689655E-2</v>
      </c>
      <c r="H60" s="87">
        <f t="shared" si="30"/>
        <v>3.4482758620689655E-2</v>
      </c>
      <c r="I60" s="87">
        <f t="shared" si="30"/>
        <v>3.4482758620689655E-2</v>
      </c>
      <c r="J60" s="87">
        <f t="shared" si="30"/>
        <v>3.4482758620689655E-2</v>
      </c>
      <c r="K60" s="87">
        <f t="shared" si="30"/>
        <v>3.4482758620689655E-2</v>
      </c>
    </row>
    <row r="61" spans="2:11" ht="13.5" customHeight="1" outlineLevel="1">
      <c r="B61" s="79"/>
      <c r="C61" s="79"/>
      <c r="D61" s="79"/>
      <c r="F61" s="81"/>
      <c r="G61" s="77"/>
      <c r="H61" s="77"/>
      <c r="I61" s="77"/>
      <c r="J61" s="77"/>
      <c r="K61" s="77"/>
    </row>
    <row r="62" spans="2:11" ht="13.5" customHeight="1" outlineLevel="1">
      <c r="B62" s="72" t="s">
        <v>70</v>
      </c>
      <c r="C62" s="79"/>
      <c r="D62" s="79"/>
      <c r="F62" s="87">
        <f>F12/F$10</f>
        <v>0.46823956442831216</v>
      </c>
      <c r="G62" s="87">
        <f t="shared" ref="G62:K62" si="33">G12/G$10</f>
        <v>0.46823956442831216</v>
      </c>
      <c r="H62" s="87">
        <f t="shared" si="33"/>
        <v>0.46823956442831222</v>
      </c>
      <c r="I62" s="87">
        <f t="shared" si="33"/>
        <v>0.46823956442831216</v>
      </c>
      <c r="J62" s="87">
        <f t="shared" si="33"/>
        <v>0.46823956442831216</v>
      </c>
      <c r="K62" s="87">
        <f t="shared" si="33"/>
        <v>0.46823956442831222</v>
      </c>
    </row>
    <row r="63" spans="2:11" ht="13.5" customHeight="1" outlineLevel="1">
      <c r="B63" s="72" t="s">
        <v>71</v>
      </c>
      <c r="C63" s="79"/>
      <c r="D63" s="79"/>
      <c r="F63" s="87">
        <f>F14/F$10</f>
        <v>0.28765880217785844</v>
      </c>
      <c r="G63" s="87">
        <f t="shared" ref="G63:K63" si="34">G14/G$10</f>
        <v>0.2876588021778585</v>
      </c>
      <c r="H63" s="87">
        <f t="shared" si="34"/>
        <v>0.28765880217785855</v>
      </c>
      <c r="I63" s="87">
        <f t="shared" si="34"/>
        <v>0.28765880217785844</v>
      </c>
      <c r="J63" s="87">
        <f t="shared" si="34"/>
        <v>0.28765880217785844</v>
      </c>
      <c r="K63" s="87">
        <f t="shared" si="34"/>
        <v>0.2876588021778585</v>
      </c>
    </row>
    <row r="64" spans="2:11" ht="13.5" customHeight="1" outlineLevel="1">
      <c r="B64" s="72" t="s">
        <v>72</v>
      </c>
      <c r="C64" s="79"/>
      <c r="D64" s="79"/>
      <c r="F64" s="87">
        <f t="shared" ref="F64:K65" si="35">F18/F$10</f>
        <v>0.20508166969147007</v>
      </c>
      <c r="G64" s="87">
        <f t="shared" si="35"/>
        <v>0.20633480252355033</v>
      </c>
      <c r="H64" s="87">
        <f t="shared" si="35"/>
        <v>0.20752826236362673</v>
      </c>
      <c r="I64" s="87">
        <f t="shared" si="35"/>
        <v>0.20866489078274703</v>
      </c>
      <c r="J64" s="87">
        <f t="shared" si="35"/>
        <v>0.22637501733288348</v>
      </c>
      <c r="K64" s="87">
        <f t="shared" si="35"/>
        <v>0.23139745916515433</v>
      </c>
    </row>
    <row r="65" spans="1:11" ht="13.5" customHeight="1" outlineLevel="1">
      <c r="B65" s="72" t="s">
        <v>73</v>
      </c>
      <c r="C65" s="79"/>
      <c r="D65" s="79"/>
      <c r="F65" s="87">
        <f t="shared" si="35"/>
        <v>0.2558983666061706</v>
      </c>
      <c r="G65" s="87">
        <f t="shared" si="35"/>
        <v>0.25589836660617066</v>
      </c>
      <c r="H65" s="87">
        <f t="shared" si="35"/>
        <v>0.25589836660617066</v>
      </c>
      <c r="I65" s="87">
        <f t="shared" si="35"/>
        <v>0.2558983666061706</v>
      </c>
      <c r="J65" s="87">
        <f t="shared" si="35"/>
        <v>0.2558983666061706</v>
      </c>
      <c r="K65" s="87">
        <f t="shared" si="35"/>
        <v>0.25589836660617066</v>
      </c>
    </row>
    <row r="66" spans="1:11" ht="13.5" customHeight="1" outlineLevel="1">
      <c r="B66" s="72" t="s">
        <v>75</v>
      </c>
      <c r="C66" s="79"/>
      <c r="D66" s="79"/>
      <c r="F66" s="87">
        <f>F35/F$10</f>
        <v>9.7549909255898376E-2</v>
      </c>
      <c r="G66" s="87">
        <f t="shared" ref="G66:K66" ca="1" si="36">G35/G$10</f>
        <v>9.3939293760012962E-2</v>
      </c>
      <c r="H66" s="87">
        <f t="shared" ca="1" si="36"/>
        <v>9.6657628278327662E-2</v>
      </c>
      <c r="I66" s="87">
        <f t="shared" ca="1" si="36"/>
        <v>9.7831214986313558E-2</v>
      </c>
      <c r="J66" s="87">
        <f t="shared" ca="1" si="36"/>
        <v>0.10892793288367457</v>
      </c>
      <c r="K66" s="87">
        <f t="shared" ca="1" si="36"/>
        <v>0.11340606256713207</v>
      </c>
    </row>
    <row r="67" spans="1:11" ht="13.5" customHeight="1" outlineLevel="1">
      <c r="B67" s="72" t="s">
        <v>74</v>
      </c>
      <c r="C67" s="79"/>
      <c r="D67" s="79"/>
      <c r="F67" s="87">
        <f>F41/F$10</f>
        <v>0.12815380235578808</v>
      </c>
      <c r="G67" s="87">
        <f t="shared" ref="G67:K67" ca="1" si="37">G41/G$10</f>
        <v>0.12367711004641864</v>
      </c>
      <c r="H67" s="87">
        <f t="shared" ca="1" si="37"/>
        <v>0.12567937641817647</v>
      </c>
      <c r="I67" s="87">
        <f t="shared" ca="1" si="37"/>
        <v>0.12617099346277486</v>
      </c>
      <c r="J67" s="87">
        <f t="shared" ca="1" si="37"/>
        <v>0.12664175054587656</v>
      </c>
      <c r="K67" s="87">
        <f t="shared" ca="1" si="37"/>
        <v>0.12810644777584348</v>
      </c>
    </row>
    <row r="68" spans="1:11" ht="13.5" customHeight="1" outlineLevel="1">
      <c r="B68" s="79"/>
      <c r="C68" s="79"/>
      <c r="D68" s="79"/>
      <c r="F68" s="81"/>
      <c r="G68" s="77"/>
      <c r="H68" s="77"/>
      <c r="I68" s="77"/>
      <c r="J68" s="77"/>
      <c r="K68" s="77"/>
    </row>
    <row r="69" spans="1:11" ht="13.5" customHeight="1" outlineLevel="1">
      <c r="B69" s="34" t="s">
        <v>276</v>
      </c>
      <c r="F69" s="88">
        <f t="shared" ref="F69:K69" si="38">(F18+F28-F29-F31)/SUM(F113,F117:F119)/F$3</f>
        <v>0.17044532966051146</v>
      </c>
      <c r="G69" s="88">
        <f t="shared" ca="1" si="38"/>
        <v>0.16134472099181399</v>
      </c>
      <c r="H69" s="88">
        <f t="shared" ca="1" si="38"/>
        <v>0.14480357235667221</v>
      </c>
      <c r="I69" s="88">
        <f t="shared" ca="1" si="38"/>
        <v>0.13255379115401886</v>
      </c>
      <c r="J69" s="88">
        <f t="shared" ca="1" si="38"/>
        <v>0.1321615143373237</v>
      </c>
      <c r="K69" s="88">
        <f t="shared" ca="1" si="38"/>
        <v>0.12510726353332582</v>
      </c>
    </row>
    <row r="70" spans="1:11" ht="13.5" customHeight="1" outlineLevel="1">
      <c r="B70" s="34" t="s">
        <v>277</v>
      </c>
      <c r="F70" s="88">
        <f t="shared" ref="F70:K70" si="39">F$35/F119/F$3</f>
        <v>0.37968089145541428</v>
      </c>
      <c r="G70" s="88">
        <f t="shared" ca="1" si="39"/>
        <v>0.25923718842727445</v>
      </c>
      <c r="H70" s="88">
        <f t="shared" ca="1" si="39"/>
        <v>0.20762303860333584</v>
      </c>
      <c r="I70" s="88">
        <f t="shared" ca="1" si="39"/>
        <v>0.17314810143644163</v>
      </c>
      <c r="J70" s="88">
        <f t="shared" ca="1" si="39"/>
        <v>0.1623661214361749</v>
      </c>
      <c r="K70" s="88">
        <f t="shared" ca="1" si="39"/>
        <v>0.14610217076058615</v>
      </c>
    </row>
    <row r="71" spans="1:11" ht="13.5" customHeight="1" outlineLevel="1">
      <c r="B71" s="34" t="s">
        <v>278</v>
      </c>
      <c r="F71" s="88">
        <f t="shared" ref="F71:K71" si="40">F$35/F97/F$3</f>
        <v>9.3185536737856109E-2</v>
      </c>
      <c r="G71" s="88">
        <f t="shared" ca="1" si="40"/>
        <v>8.0460592167257469E-2</v>
      </c>
      <c r="H71" s="88">
        <f t="shared" ca="1" si="40"/>
        <v>7.6585437590573541E-2</v>
      </c>
      <c r="I71" s="88">
        <f t="shared" ca="1" si="40"/>
        <v>7.2289946044349643E-2</v>
      </c>
      <c r="J71" s="88">
        <f t="shared" ca="1" si="40"/>
        <v>7.6071016172479924E-2</v>
      </c>
      <c r="K71" s="88">
        <f t="shared" ca="1" si="40"/>
        <v>7.5038858473026063E-2</v>
      </c>
    </row>
    <row r="72" spans="1:11" ht="13.5" customHeight="1" outlineLevel="1">
      <c r="B72" s="79"/>
      <c r="C72" s="79"/>
      <c r="D72" s="79"/>
      <c r="F72" s="81"/>
      <c r="G72" s="77"/>
      <c r="H72" s="77"/>
      <c r="I72" s="77"/>
      <c r="J72" s="77"/>
      <c r="K72" s="77"/>
    </row>
    <row r="73" spans="1:11" ht="13.5" customHeight="1" outlineLevel="1">
      <c r="B73" s="79" t="s">
        <v>8</v>
      </c>
      <c r="C73" s="79"/>
      <c r="D73" s="79"/>
      <c r="F73" s="89">
        <f>F31/F30</f>
        <v>0.39775910364145656</v>
      </c>
      <c r="G73" s="87">
        <f>G422</f>
        <v>0.40000650000000004</v>
      </c>
      <c r="H73" s="87">
        <f t="shared" ref="H73:K73" si="41">H422</f>
        <v>0.40000650000000004</v>
      </c>
      <c r="I73" s="87">
        <f t="shared" si="41"/>
        <v>0.40000650000000004</v>
      </c>
      <c r="J73" s="87">
        <f t="shared" si="41"/>
        <v>0.40000650000000004</v>
      </c>
      <c r="K73" s="87">
        <f t="shared" si="41"/>
        <v>0.40000650000000004</v>
      </c>
    </row>
    <row r="74" spans="1:11" ht="5.0999999999999996" customHeight="1" outlineLevel="1" thickBot="1">
      <c r="B74" s="90"/>
      <c r="C74" s="90"/>
      <c r="D74" s="90"/>
      <c r="E74" s="90"/>
      <c r="F74" s="90"/>
      <c r="G74" s="90"/>
      <c r="H74" s="90"/>
      <c r="I74" s="90"/>
      <c r="J74" s="90"/>
      <c r="K74" s="90"/>
    </row>
    <row r="75" spans="1:11" ht="13.5" customHeight="1" outlineLevel="1"/>
    <row r="76" spans="1:11" ht="13.5" customHeight="1" outlineLevel="1" thickBot="1"/>
    <row r="77" spans="1:11" ht="20.7" thickTop="1">
      <c r="A77" s="41" t="s">
        <v>286</v>
      </c>
      <c r="B77" s="42" t="s">
        <v>6</v>
      </c>
      <c r="C77" s="43"/>
      <c r="D77" s="44"/>
      <c r="E77" s="44"/>
      <c r="F77" s="44"/>
      <c r="G77" s="44"/>
      <c r="H77" s="44"/>
      <c r="I77" s="44"/>
      <c r="J77" s="44"/>
      <c r="K77" s="44"/>
    </row>
    <row r="78" spans="1:11" ht="5.0999999999999996" customHeight="1" outlineLevel="1">
      <c r="B78" s="45"/>
      <c r="C78" s="46"/>
    </row>
    <row r="79" spans="1:11" ht="13.5" customHeight="1" outlineLevel="1">
      <c r="B79" s="47"/>
      <c r="C79" s="47"/>
      <c r="D79" s="47"/>
      <c r="E79" s="48"/>
      <c r="F79" s="49" t="s">
        <v>285</v>
      </c>
      <c r="G79" s="50" t="s">
        <v>284</v>
      </c>
      <c r="H79" s="50"/>
      <c r="I79" s="50"/>
      <c r="J79" s="50"/>
      <c r="K79" s="50"/>
    </row>
    <row r="80" spans="1:11" ht="13.5" customHeight="1" outlineLevel="1" thickBot="1">
      <c r="B80" s="51" t="s">
        <v>9</v>
      </c>
      <c r="C80" s="52"/>
      <c r="D80" s="52"/>
      <c r="E80" s="53"/>
      <c r="F80" s="54">
        <f t="shared" ref="F80:K80" si="42">F$8</f>
        <v>44926</v>
      </c>
      <c r="G80" s="54">
        <f t="shared" si="42"/>
        <v>45291</v>
      </c>
      <c r="H80" s="54">
        <f t="shared" si="42"/>
        <v>45657</v>
      </c>
      <c r="I80" s="54">
        <f t="shared" si="42"/>
        <v>46022</v>
      </c>
      <c r="J80" s="54">
        <f t="shared" si="42"/>
        <v>46387</v>
      </c>
      <c r="K80" s="54">
        <f t="shared" si="42"/>
        <v>46752</v>
      </c>
    </row>
    <row r="81" spans="2:11" ht="5.0999999999999996" customHeight="1" outlineLevel="1">
      <c r="B81" s="55"/>
      <c r="C81" s="55"/>
      <c r="D81" s="55"/>
      <c r="E81" s="56"/>
      <c r="F81" s="56"/>
      <c r="G81" s="56"/>
      <c r="H81" s="56"/>
      <c r="I81" s="56"/>
      <c r="J81" s="56"/>
    </row>
    <row r="82" spans="2:11" ht="13.5" customHeight="1" outlineLevel="1">
      <c r="B82" s="82" t="s">
        <v>0</v>
      </c>
      <c r="C82" s="83"/>
      <c r="D82" s="84"/>
      <c r="E82" s="84"/>
      <c r="F82" s="84"/>
      <c r="G82" s="84"/>
      <c r="H82" s="84"/>
      <c r="I82" s="84"/>
      <c r="J82" s="84"/>
      <c r="K82" s="85"/>
    </row>
    <row r="83" spans="2:11" ht="13.5" customHeight="1" outlineLevel="1">
      <c r="B83" s="55"/>
      <c r="C83" s="55"/>
      <c r="D83" s="55"/>
      <c r="E83" s="56"/>
      <c r="F83" s="56"/>
      <c r="G83" s="56"/>
      <c r="H83" s="56"/>
      <c r="I83" s="56"/>
      <c r="J83" s="56"/>
    </row>
    <row r="84" spans="2:11" ht="13.5" customHeight="1" outlineLevel="1">
      <c r="B84" s="91" t="s">
        <v>20</v>
      </c>
      <c r="E84" s="92"/>
      <c r="F84" s="211">
        <v>157.10599999999999</v>
      </c>
      <c r="G84" s="93">
        <f ca="1">MAX(0,F84+G163)</f>
        <v>238.70093002388441</v>
      </c>
      <c r="H84" s="93">
        <f ca="1">MAX(0,G84+H163)</f>
        <v>313.89733752984267</v>
      </c>
      <c r="I84" s="93">
        <f ca="1">MAX(0,H84+I163)</f>
        <v>392.86646030864517</v>
      </c>
      <c r="J84" s="93">
        <f ca="1">MAX(0,I84+J163)</f>
        <v>461.86040237313324</v>
      </c>
      <c r="K84" s="93">
        <f ca="1">MAX(0,J84+K163)</f>
        <v>534.01548973809679</v>
      </c>
    </row>
    <row r="85" spans="2:11" ht="13.5" customHeight="1" outlineLevel="1">
      <c r="B85" s="91" t="s">
        <v>21</v>
      </c>
      <c r="E85" s="92"/>
      <c r="F85" s="212">
        <v>136.44300000000001</v>
      </c>
      <c r="G85" s="94">
        <f>G174</f>
        <v>143.26515000000003</v>
      </c>
      <c r="H85" s="94">
        <f t="shared" ref="H85:K85" si="43">H174</f>
        <v>150.42840750000002</v>
      </c>
      <c r="I85" s="94">
        <f t="shared" si="43"/>
        <v>157.94982787500004</v>
      </c>
      <c r="J85" s="94">
        <f t="shared" si="43"/>
        <v>165.84731926875003</v>
      </c>
      <c r="K85" s="94">
        <f t="shared" si="43"/>
        <v>174.13968523218753</v>
      </c>
    </row>
    <row r="86" spans="2:11" ht="13.5" customHeight="1" outlineLevel="1">
      <c r="B86" s="91" t="s">
        <v>22</v>
      </c>
      <c r="E86" s="92"/>
      <c r="F86" s="212">
        <v>0</v>
      </c>
      <c r="G86" s="94">
        <f t="shared" ref="G86:K88" si="44">G175</f>
        <v>0</v>
      </c>
      <c r="H86" s="94">
        <f t="shared" si="44"/>
        <v>0</v>
      </c>
      <c r="I86" s="94">
        <f t="shared" si="44"/>
        <v>0</v>
      </c>
      <c r="J86" s="94">
        <f t="shared" si="44"/>
        <v>0</v>
      </c>
      <c r="K86" s="94">
        <f t="shared" si="44"/>
        <v>0</v>
      </c>
    </row>
    <row r="87" spans="2:11" ht="13.5" customHeight="1" outlineLevel="1">
      <c r="B87" s="95" t="s">
        <v>39</v>
      </c>
      <c r="E87" s="92"/>
      <c r="F87" s="212">
        <v>8.8279999999999994</v>
      </c>
      <c r="G87" s="94">
        <f t="shared" si="44"/>
        <v>9.2693999999999992</v>
      </c>
      <c r="H87" s="94">
        <f t="shared" si="44"/>
        <v>9.7328700000000001</v>
      </c>
      <c r="I87" s="94">
        <f t="shared" si="44"/>
        <v>10.2195135</v>
      </c>
      <c r="J87" s="94">
        <f t="shared" si="44"/>
        <v>10.730489174999999</v>
      </c>
      <c r="K87" s="94">
        <f t="shared" si="44"/>
        <v>11.26701363375</v>
      </c>
    </row>
    <row r="88" spans="2:11" ht="13.5" customHeight="1" outlineLevel="1">
      <c r="B88" s="91" t="s">
        <v>23</v>
      </c>
      <c r="E88" s="92"/>
      <c r="F88" s="212">
        <v>8.2230000000000008</v>
      </c>
      <c r="G88" s="94">
        <f t="shared" si="44"/>
        <v>8.6341500000000018</v>
      </c>
      <c r="H88" s="94">
        <f t="shared" si="44"/>
        <v>9.0658574999999999</v>
      </c>
      <c r="I88" s="94">
        <f t="shared" si="44"/>
        <v>9.5191503750000024</v>
      </c>
      <c r="J88" s="94">
        <f t="shared" si="44"/>
        <v>9.9951078937500011</v>
      </c>
      <c r="K88" s="94">
        <f t="shared" si="44"/>
        <v>10.494863288437502</v>
      </c>
    </row>
    <row r="89" spans="2:11" ht="13.5" customHeight="1" outlineLevel="1">
      <c r="B89" s="69" t="s">
        <v>19</v>
      </c>
      <c r="C89" s="69"/>
      <c r="D89" s="69"/>
      <c r="E89" s="70"/>
      <c r="F89" s="96">
        <f>SUM(F84:F88)</f>
        <v>310.59999999999997</v>
      </c>
      <c r="G89" s="96">
        <f t="shared" ref="G89:K89" ca="1" si="45">SUM(G84:G88)</f>
        <v>399.86963002388444</v>
      </c>
      <c r="H89" s="96">
        <f t="shared" ca="1" si="45"/>
        <v>483.12447252984265</v>
      </c>
      <c r="I89" s="96">
        <f t="shared" ca="1" si="45"/>
        <v>570.55495205864509</v>
      </c>
      <c r="J89" s="96">
        <f t="shared" ca="1" si="45"/>
        <v>648.43331871063322</v>
      </c>
      <c r="K89" s="96">
        <f t="shared" ca="1" si="45"/>
        <v>729.91705189247182</v>
      </c>
    </row>
    <row r="90" spans="2:11" ht="13.5" customHeight="1" outlineLevel="1">
      <c r="B90" s="91" t="s">
        <v>16</v>
      </c>
      <c r="C90" s="97"/>
      <c r="D90" s="97"/>
      <c r="E90" s="98"/>
      <c r="F90" s="212">
        <v>44</v>
      </c>
      <c r="G90" s="94">
        <f>F90+G46</f>
        <v>59.96</v>
      </c>
      <c r="H90" s="94">
        <f>G90+H46</f>
        <v>76.718000000000004</v>
      </c>
      <c r="I90" s="94">
        <f>H90+I46</f>
        <v>94.313900000000004</v>
      </c>
      <c r="J90" s="94">
        <f>I90+J46</f>
        <v>112.78959500000001</v>
      </c>
      <c r="K90" s="94">
        <f>J90+K46</f>
        <v>132.18907475</v>
      </c>
    </row>
    <row r="91" spans="2:11" ht="13.5" customHeight="1" outlineLevel="1">
      <c r="B91" s="91" t="s">
        <v>17</v>
      </c>
      <c r="C91" s="97"/>
      <c r="D91" s="97"/>
      <c r="E91" s="98"/>
      <c r="F91" s="94">
        <f>F92-F90</f>
        <v>-6.0300000000000011</v>
      </c>
      <c r="G91" s="99">
        <f>F91-G15</f>
        <v>-20.730000000000004</v>
      </c>
      <c r="H91" s="99">
        <f>G91-H15</f>
        <v>-36.165000000000006</v>
      </c>
      <c r="I91" s="99">
        <f>H91-I15</f>
        <v>-52.371750000000006</v>
      </c>
      <c r="J91" s="99">
        <f>I91-J15</f>
        <v>-69.388837500000008</v>
      </c>
      <c r="K91" s="99">
        <f>J91-K15</f>
        <v>-87.256779375000008</v>
      </c>
    </row>
    <row r="92" spans="2:11" ht="13.5" customHeight="1" outlineLevel="1">
      <c r="B92" s="69" t="s">
        <v>18</v>
      </c>
      <c r="C92" s="69"/>
      <c r="D92" s="69"/>
      <c r="E92" s="96"/>
      <c r="F92" s="206">
        <v>37.97</v>
      </c>
      <c r="G92" s="96">
        <f>SUM(G90:G91)</f>
        <v>39.229999999999997</v>
      </c>
      <c r="H92" s="96">
        <f t="shared" ref="H92:K92" si="46">SUM(H90:H91)</f>
        <v>40.552999999999997</v>
      </c>
      <c r="I92" s="96">
        <f t="shared" si="46"/>
        <v>41.942149999999998</v>
      </c>
      <c r="J92" s="96">
        <f t="shared" si="46"/>
        <v>43.400757499999997</v>
      </c>
      <c r="K92" s="96">
        <f t="shared" si="46"/>
        <v>44.932295374999995</v>
      </c>
    </row>
    <row r="93" spans="2:11" ht="13.5" customHeight="1" outlineLevel="1">
      <c r="B93" s="97" t="s">
        <v>5</v>
      </c>
      <c r="C93" s="97"/>
      <c r="D93" s="97"/>
      <c r="E93" s="98"/>
      <c r="F93" s="212">
        <v>61.094000000000001</v>
      </c>
      <c r="G93" s="99">
        <f>F93</f>
        <v>61.094000000000001</v>
      </c>
      <c r="H93" s="99">
        <f t="shared" ref="H93:K93" si="47">G93</f>
        <v>61.094000000000001</v>
      </c>
      <c r="I93" s="99">
        <f t="shared" si="47"/>
        <v>61.094000000000001</v>
      </c>
      <c r="J93" s="99">
        <f t="shared" si="47"/>
        <v>61.094000000000001</v>
      </c>
      <c r="K93" s="99">
        <f t="shared" si="47"/>
        <v>61.094000000000001</v>
      </c>
    </row>
    <row r="94" spans="2:11" ht="13.5" customHeight="1" outlineLevel="1">
      <c r="B94" s="97" t="s">
        <v>24</v>
      </c>
      <c r="C94" s="97"/>
      <c r="D94" s="97"/>
      <c r="E94" s="98"/>
      <c r="F94" s="212">
        <v>37.491</v>
      </c>
      <c r="G94" s="99">
        <f>F94-G16</f>
        <v>25.890999999999998</v>
      </c>
      <c r="H94" s="99">
        <f>G94-H16</f>
        <v>14.290999999999999</v>
      </c>
      <c r="I94" s="99">
        <f>H94-I16</f>
        <v>2.6909999999999989</v>
      </c>
      <c r="J94" s="99">
        <f>I94-J16</f>
        <v>0</v>
      </c>
      <c r="K94" s="99">
        <f>J94-K16</f>
        <v>0</v>
      </c>
    </row>
    <row r="95" spans="2:11" ht="13.5" customHeight="1" outlineLevel="1">
      <c r="B95" s="97" t="s">
        <v>173</v>
      </c>
      <c r="C95" s="97"/>
      <c r="D95" s="97"/>
      <c r="E95" s="98"/>
      <c r="F95" s="212">
        <v>0</v>
      </c>
      <c r="G95" s="99">
        <f>F95+G334</f>
        <v>0</v>
      </c>
      <c r="H95" s="99">
        <f>G95+H334</f>
        <v>0</v>
      </c>
      <c r="I95" s="99">
        <f>H95+I334</f>
        <v>0</v>
      </c>
      <c r="J95" s="99">
        <f>I95+J334</f>
        <v>0</v>
      </c>
      <c r="K95" s="99">
        <f>J95+K334</f>
        <v>0</v>
      </c>
    </row>
    <row r="96" spans="2:11" ht="13.5" customHeight="1" outlineLevel="1">
      <c r="B96" s="100" t="s">
        <v>4</v>
      </c>
      <c r="C96" s="100"/>
      <c r="D96" s="100"/>
      <c r="E96" s="101"/>
      <c r="F96" s="212">
        <v>14.29</v>
      </c>
      <c r="G96" s="99">
        <f>F96</f>
        <v>14.29</v>
      </c>
      <c r="H96" s="99">
        <f t="shared" ref="H96:K96" si="48">G96</f>
        <v>14.29</v>
      </c>
      <c r="I96" s="99">
        <f t="shared" si="48"/>
        <v>14.29</v>
      </c>
      <c r="J96" s="99">
        <f t="shared" si="48"/>
        <v>14.29</v>
      </c>
      <c r="K96" s="99">
        <f t="shared" si="48"/>
        <v>14.29</v>
      </c>
    </row>
    <row r="97" spans="2:11" ht="13.5" customHeight="1" outlineLevel="1">
      <c r="B97" s="102" t="s">
        <v>3</v>
      </c>
      <c r="C97" s="102"/>
      <c r="D97" s="102"/>
      <c r="E97" s="103"/>
      <c r="F97" s="103">
        <f>SUM(F89,F92:F96)</f>
        <v>461.44499999999994</v>
      </c>
      <c r="G97" s="103">
        <f t="shared" ref="G97:K97" ca="1" si="49">SUM(G89,G92:G96)</f>
        <v>540.37463002388438</v>
      </c>
      <c r="H97" s="103">
        <f t="shared" ca="1" si="49"/>
        <v>613.35247252984266</v>
      </c>
      <c r="I97" s="103">
        <f t="shared" ca="1" si="49"/>
        <v>690.5721020586451</v>
      </c>
      <c r="J97" s="103">
        <f t="shared" ca="1" si="49"/>
        <v>767.21807621063317</v>
      </c>
      <c r="K97" s="103">
        <f t="shared" ca="1" si="49"/>
        <v>850.2333472674718</v>
      </c>
    </row>
    <row r="98" spans="2:11" ht="13.5" customHeight="1" outlineLevel="1"/>
    <row r="99" spans="2:11" ht="13.5" customHeight="1" outlineLevel="1">
      <c r="B99" s="82" t="s">
        <v>32</v>
      </c>
      <c r="C99" s="83"/>
      <c r="D99" s="84"/>
      <c r="E99" s="84"/>
      <c r="F99" s="84"/>
      <c r="G99" s="84"/>
      <c r="H99" s="84"/>
      <c r="I99" s="84"/>
      <c r="J99" s="84"/>
      <c r="K99" s="85"/>
    </row>
    <row r="100" spans="2:11" ht="13.5" customHeight="1" outlineLevel="1">
      <c r="B100" s="55"/>
      <c r="C100" s="55"/>
      <c r="D100" s="55"/>
      <c r="E100" s="56"/>
      <c r="F100" s="56"/>
      <c r="G100" s="56"/>
      <c r="H100" s="56"/>
      <c r="I100" s="56"/>
      <c r="J100" s="56"/>
    </row>
    <row r="101" spans="2:11" ht="13.5" customHeight="1" outlineLevel="1">
      <c r="B101" s="91" t="s">
        <v>25</v>
      </c>
      <c r="C101" s="97"/>
      <c r="D101" s="97"/>
      <c r="E101" s="98"/>
      <c r="F101" s="211">
        <v>20.661999999999999</v>
      </c>
      <c r="G101" s="104">
        <f>G179</f>
        <v>21.6951</v>
      </c>
      <c r="H101" s="104">
        <f t="shared" ref="H101:K101" si="50">H179</f>
        <v>22.779854999999998</v>
      </c>
      <c r="I101" s="104">
        <f t="shared" si="50"/>
        <v>23.918847750000001</v>
      </c>
      <c r="J101" s="104">
        <f t="shared" si="50"/>
        <v>25.114790137499998</v>
      </c>
      <c r="K101" s="104">
        <f t="shared" si="50"/>
        <v>26.370529644375001</v>
      </c>
    </row>
    <row r="102" spans="2:11" ht="13.5" customHeight="1" outlineLevel="1">
      <c r="B102" s="91" t="s">
        <v>26</v>
      </c>
      <c r="C102" s="97"/>
      <c r="D102" s="97"/>
      <c r="E102" s="98"/>
      <c r="F102" s="212">
        <v>15.38</v>
      </c>
      <c r="G102" s="94">
        <f t="shared" ref="G102:K106" si="51">G180</f>
        <v>16.149000000000001</v>
      </c>
      <c r="H102" s="94">
        <f t="shared" si="51"/>
        <v>16.956449999999997</v>
      </c>
      <c r="I102" s="94">
        <f t="shared" si="51"/>
        <v>17.8042725</v>
      </c>
      <c r="J102" s="94">
        <f t="shared" si="51"/>
        <v>18.694486125000001</v>
      </c>
      <c r="K102" s="94">
        <f t="shared" si="51"/>
        <v>19.629210431250002</v>
      </c>
    </row>
    <row r="103" spans="2:11" ht="13.5" customHeight="1" outlineLevel="1">
      <c r="B103" s="91" t="s">
        <v>40</v>
      </c>
      <c r="C103" s="97"/>
      <c r="D103" s="97"/>
      <c r="E103" s="98"/>
      <c r="F103" s="212">
        <v>0</v>
      </c>
      <c r="G103" s="94">
        <f t="shared" si="51"/>
        <v>0</v>
      </c>
      <c r="H103" s="94">
        <f t="shared" si="51"/>
        <v>0</v>
      </c>
      <c r="I103" s="94">
        <f t="shared" si="51"/>
        <v>0</v>
      </c>
      <c r="J103" s="94">
        <f t="shared" si="51"/>
        <v>0</v>
      </c>
      <c r="K103" s="94">
        <f t="shared" si="51"/>
        <v>0</v>
      </c>
    </row>
    <row r="104" spans="2:11" ht="13.5" customHeight="1" outlineLevel="1">
      <c r="B104" s="91" t="s">
        <v>27</v>
      </c>
      <c r="C104" s="97"/>
      <c r="D104" s="97"/>
      <c r="E104" s="98"/>
      <c r="F104" s="212">
        <v>2.9359999999999999</v>
      </c>
      <c r="G104" s="94">
        <f t="shared" si="51"/>
        <v>3.0827999999999998</v>
      </c>
      <c r="H104" s="94">
        <f t="shared" si="51"/>
        <v>3.2369399999999997</v>
      </c>
      <c r="I104" s="94">
        <f t="shared" si="51"/>
        <v>3.398787</v>
      </c>
      <c r="J104" s="94">
        <f t="shared" si="51"/>
        <v>3.5687263499999999</v>
      </c>
      <c r="K104" s="94">
        <f t="shared" si="51"/>
        <v>3.7471626674999996</v>
      </c>
    </row>
    <row r="105" spans="2:11" ht="13.5" customHeight="1" outlineLevel="1">
      <c r="B105" s="91" t="s">
        <v>28</v>
      </c>
      <c r="C105" s="97"/>
      <c r="D105" s="97"/>
      <c r="E105" s="98"/>
      <c r="F105" s="212">
        <v>20.013000000000002</v>
      </c>
      <c r="G105" s="94">
        <f t="shared" si="51"/>
        <v>21.013650000000002</v>
      </c>
      <c r="H105" s="94">
        <f t="shared" si="51"/>
        <v>22.064332500000003</v>
      </c>
      <c r="I105" s="94">
        <f t="shared" si="51"/>
        <v>23.167549125000001</v>
      </c>
      <c r="J105" s="94">
        <f t="shared" si="51"/>
        <v>24.325926581250002</v>
      </c>
      <c r="K105" s="94">
        <f t="shared" si="51"/>
        <v>25.542222910312503</v>
      </c>
    </row>
    <row r="106" spans="2:11" ht="13.5" customHeight="1" outlineLevel="1">
      <c r="B106" s="91" t="s">
        <v>29</v>
      </c>
      <c r="C106" s="97"/>
      <c r="D106" s="97"/>
      <c r="E106" s="98"/>
      <c r="F106" s="212">
        <v>36.183999999999997</v>
      </c>
      <c r="G106" s="94">
        <f>G184</f>
        <v>37.993199999999995</v>
      </c>
      <c r="H106" s="94">
        <f t="shared" si="51"/>
        <v>39.892859999999992</v>
      </c>
      <c r="I106" s="94">
        <f t="shared" si="51"/>
        <v>41.887502999999995</v>
      </c>
      <c r="J106" s="94">
        <f t="shared" si="51"/>
        <v>43.98187815</v>
      </c>
      <c r="K106" s="94">
        <f t="shared" si="51"/>
        <v>46.180972057499993</v>
      </c>
    </row>
    <row r="107" spans="2:11" ht="13.5" customHeight="1" outlineLevel="1">
      <c r="B107" s="91" t="s">
        <v>30</v>
      </c>
      <c r="C107" s="97"/>
      <c r="D107" s="97"/>
      <c r="E107" s="98"/>
      <c r="F107" s="212">
        <v>0</v>
      </c>
      <c r="G107" s="94">
        <f>F107</f>
        <v>0</v>
      </c>
      <c r="H107" s="94">
        <f t="shared" ref="H107:K107" si="52">G107</f>
        <v>0</v>
      </c>
      <c r="I107" s="94">
        <f t="shared" si="52"/>
        <v>0</v>
      </c>
      <c r="J107" s="94">
        <f t="shared" si="52"/>
        <v>0</v>
      </c>
      <c r="K107" s="94">
        <f t="shared" si="52"/>
        <v>0</v>
      </c>
    </row>
    <row r="108" spans="2:11" ht="13.5" customHeight="1" outlineLevel="1">
      <c r="B108" s="69" t="s">
        <v>31</v>
      </c>
      <c r="C108" s="69"/>
      <c r="D108" s="69"/>
      <c r="E108" s="70"/>
      <c r="F108" s="96">
        <f>SUM(F101:F107)</f>
        <v>95.174999999999997</v>
      </c>
      <c r="G108" s="96">
        <f t="shared" ref="G108:K108" si="53">SUM(G101:G107)</f>
        <v>99.933750000000003</v>
      </c>
      <c r="H108" s="96">
        <f t="shared" si="53"/>
        <v>104.93043749999998</v>
      </c>
      <c r="I108" s="96">
        <f t="shared" si="53"/>
        <v>110.176959375</v>
      </c>
      <c r="J108" s="96">
        <f t="shared" si="53"/>
        <v>115.68580734375</v>
      </c>
      <c r="K108" s="96">
        <f t="shared" si="53"/>
        <v>121.47009771093749</v>
      </c>
    </row>
    <row r="109" spans="2:11" ht="13.5" customHeight="1" outlineLevel="1">
      <c r="B109" s="105" t="str">
        <f>B319</f>
        <v>Revolver</v>
      </c>
      <c r="C109" s="97"/>
      <c r="D109" s="97"/>
      <c r="E109" s="98"/>
      <c r="F109" s="212">
        <v>15</v>
      </c>
      <c r="G109" s="106">
        <f ca="1">G241</f>
        <v>0</v>
      </c>
      <c r="H109" s="106">
        <f t="shared" ref="H109:K109" ca="1" si="54">H241</f>
        <v>0</v>
      </c>
      <c r="I109" s="106">
        <f t="shared" ca="1" si="54"/>
        <v>0</v>
      </c>
      <c r="J109" s="106">
        <f t="shared" ca="1" si="54"/>
        <v>0</v>
      </c>
      <c r="K109" s="106">
        <f t="shared" ca="1" si="54"/>
        <v>0</v>
      </c>
    </row>
    <row r="110" spans="2:11" ht="13.5" customHeight="1" outlineLevel="1">
      <c r="B110" s="105" t="str">
        <f t="shared" ref="B110:B112" si="55">B320</f>
        <v>Senior credit facility</v>
      </c>
      <c r="C110" s="97"/>
      <c r="D110" s="97"/>
      <c r="E110" s="98"/>
      <c r="F110" s="212">
        <v>0</v>
      </c>
      <c r="G110" s="107">
        <f ca="1">G250</f>
        <v>0</v>
      </c>
      <c r="H110" s="107">
        <f t="shared" ref="H110:K110" ca="1" si="56">H250</f>
        <v>0</v>
      </c>
      <c r="I110" s="107">
        <f t="shared" ca="1" si="56"/>
        <v>0</v>
      </c>
      <c r="J110" s="107">
        <f t="shared" ca="1" si="56"/>
        <v>0</v>
      </c>
      <c r="K110" s="107">
        <f t="shared" ca="1" si="56"/>
        <v>0</v>
      </c>
    </row>
    <row r="111" spans="2:11" ht="13.5" customHeight="1" outlineLevel="1">
      <c r="B111" s="105" t="str">
        <f t="shared" si="55"/>
        <v>Subordinated note</v>
      </c>
      <c r="C111" s="97"/>
      <c r="D111" s="97"/>
      <c r="E111" s="98"/>
      <c r="F111" s="212">
        <v>45.5</v>
      </c>
      <c r="G111" s="106">
        <f ca="1">G256</f>
        <v>45.5</v>
      </c>
      <c r="H111" s="106">
        <f t="shared" ref="H111:K111" ca="1" si="57">H256</f>
        <v>45.5</v>
      </c>
      <c r="I111" s="106">
        <f t="shared" ca="1" si="57"/>
        <v>45.5</v>
      </c>
      <c r="J111" s="106">
        <f t="shared" ca="1" si="57"/>
        <v>45.5</v>
      </c>
      <c r="K111" s="106">
        <f t="shared" ca="1" si="57"/>
        <v>45.5</v>
      </c>
    </row>
    <row r="112" spans="2:11" ht="13.5" customHeight="1" outlineLevel="1">
      <c r="B112" s="105" t="str">
        <f t="shared" si="55"/>
        <v>Convertible bond</v>
      </c>
      <c r="C112" s="97"/>
      <c r="D112" s="97"/>
      <c r="E112" s="98"/>
      <c r="F112" s="212">
        <v>190</v>
      </c>
      <c r="G112" s="106">
        <f>G262</f>
        <v>199.02500000000001</v>
      </c>
      <c r="H112" s="106">
        <f t="shared" ref="H112:K112" si="58">H262</f>
        <v>208.47868750000001</v>
      </c>
      <c r="I112" s="106">
        <f t="shared" si="58"/>
        <v>218.38142515625</v>
      </c>
      <c r="J112" s="106">
        <f t="shared" si="58"/>
        <v>218.38142515625</v>
      </c>
      <c r="K112" s="106">
        <f t="shared" si="58"/>
        <v>218.38142515625</v>
      </c>
    </row>
    <row r="113" spans="1:11" ht="13.5" customHeight="1" outlineLevel="1">
      <c r="B113" s="69" t="s">
        <v>125</v>
      </c>
      <c r="C113" s="69"/>
      <c r="D113" s="69"/>
      <c r="E113" s="108"/>
      <c r="F113" s="96">
        <f>SUM(F109:F112)</f>
        <v>250.5</v>
      </c>
      <c r="G113" s="96">
        <f t="shared" ref="G113:K113" ca="1" si="59">SUM(G109:G112)</f>
        <v>244.52500000000001</v>
      </c>
      <c r="H113" s="96">
        <f t="shared" ca="1" si="59"/>
        <v>253.97868750000001</v>
      </c>
      <c r="I113" s="96">
        <f t="shared" ca="1" si="59"/>
        <v>263.88142515624997</v>
      </c>
      <c r="J113" s="96">
        <f t="shared" ca="1" si="59"/>
        <v>263.88142515624997</v>
      </c>
      <c r="K113" s="96">
        <f t="shared" ca="1" si="59"/>
        <v>263.88142515624997</v>
      </c>
    </row>
    <row r="114" spans="1:11" ht="13.5" customHeight="1" outlineLevel="1">
      <c r="B114" s="34" t="s">
        <v>203</v>
      </c>
      <c r="C114" s="97"/>
      <c r="D114" s="97"/>
      <c r="E114" s="98"/>
      <c r="F114" s="212">
        <v>-15.4</v>
      </c>
      <c r="G114" s="106">
        <f ca="1">G448</f>
        <v>10.280417300000005</v>
      </c>
      <c r="H114" s="106">
        <f t="shared" ref="H114:K114" ca="1" si="60">H448</f>
        <v>10.280417300000005</v>
      </c>
      <c r="I114" s="106">
        <f t="shared" ca="1" si="60"/>
        <v>10.280417300000005</v>
      </c>
      <c r="J114" s="106">
        <f t="shared" ca="1" si="60"/>
        <v>10.280417300000005</v>
      </c>
      <c r="K114" s="106">
        <f t="shared" ca="1" si="60"/>
        <v>10.280417300000005</v>
      </c>
    </row>
    <row r="115" spans="1:11" ht="13.5" customHeight="1" outlineLevel="1">
      <c r="B115" s="34" t="s">
        <v>33</v>
      </c>
      <c r="E115" s="98"/>
      <c r="F115" s="212">
        <v>17.917000000000002</v>
      </c>
      <c r="G115" s="94">
        <f>F115</f>
        <v>17.917000000000002</v>
      </c>
      <c r="H115" s="94">
        <f t="shared" ref="H115:K115" si="61">G115</f>
        <v>17.917000000000002</v>
      </c>
      <c r="I115" s="94">
        <f t="shared" si="61"/>
        <v>17.917000000000002</v>
      </c>
      <c r="J115" s="94">
        <f t="shared" si="61"/>
        <v>17.917000000000002</v>
      </c>
      <c r="K115" s="94">
        <f t="shared" si="61"/>
        <v>17.917000000000002</v>
      </c>
    </row>
    <row r="116" spans="1:11" ht="13.5" customHeight="1" outlineLevel="1">
      <c r="B116" s="69" t="s">
        <v>2</v>
      </c>
      <c r="C116" s="69"/>
      <c r="D116" s="69"/>
      <c r="E116" s="108"/>
      <c r="F116" s="96">
        <f>SUM(F108,F113:F115)</f>
        <v>348.19200000000001</v>
      </c>
      <c r="G116" s="96">
        <f t="shared" ref="G116:K116" ca="1" si="62">SUM(G108,G113:G115)</f>
        <v>372.65616729999999</v>
      </c>
      <c r="H116" s="96">
        <f t="shared" ca="1" si="62"/>
        <v>387.1065423</v>
      </c>
      <c r="I116" s="96">
        <f t="shared" ca="1" si="62"/>
        <v>402.25580183124998</v>
      </c>
      <c r="J116" s="96">
        <f t="shared" ca="1" si="62"/>
        <v>407.76464980000003</v>
      </c>
      <c r="K116" s="96">
        <f t="shared" ca="1" si="62"/>
        <v>413.54894016718742</v>
      </c>
    </row>
    <row r="117" spans="1:11" ht="13.5" customHeight="1" outlineLevel="1">
      <c r="B117" s="34" t="s">
        <v>13</v>
      </c>
      <c r="E117" s="98"/>
      <c r="F117" s="212">
        <v>0</v>
      </c>
      <c r="G117" s="94">
        <f>F117</f>
        <v>0</v>
      </c>
      <c r="H117" s="94">
        <f t="shared" ref="H117:K117" si="63">G117</f>
        <v>0</v>
      </c>
      <c r="I117" s="94">
        <f t="shared" si="63"/>
        <v>0</v>
      </c>
      <c r="J117" s="94">
        <f t="shared" si="63"/>
        <v>0</v>
      </c>
      <c r="K117" s="94">
        <f t="shared" si="63"/>
        <v>0</v>
      </c>
    </row>
    <row r="118" spans="1:11" ht="13.5" customHeight="1" outlineLevel="1">
      <c r="B118" s="76" t="str">
        <f>B323</f>
        <v>Preferred stock</v>
      </c>
      <c r="E118" s="92"/>
      <c r="F118" s="212">
        <v>0</v>
      </c>
      <c r="G118" s="106">
        <f>G268</f>
        <v>0</v>
      </c>
      <c r="H118" s="106">
        <f t="shared" ref="H118:K118" si="64">H268</f>
        <v>0</v>
      </c>
      <c r="I118" s="106">
        <f t="shared" si="64"/>
        <v>0</v>
      </c>
      <c r="J118" s="106">
        <f t="shared" si="64"/>
        <v>0</v>
      </c>
      <c r="K118" s="106">
        <f t="shared" si="64"/>
        <v>0</v>
      </c>
    </row>
    <row r="119" spans="1:11" ht="13.5" customHeight="1" outlineLevel="1">
      <c r="B119" s="97" t="s">
        <v>303</v>
      </c>
      <c r="E119" s="92"/>
      <c r="F119" s="212">
        <v>113.25299999999993</v>
      </c>
      <c r="G119" s="94">
        <f ca="1">F119+G35+G17-G47*G558</f>
        <v>167.71846272388433</v>
      </c>
      <c r="H119" s="94">
        <f ca="1">G119+H35+H17-H47*H558</f>
        <v>226.2459302298426</v>
      </c>
      <c r="I119" s="94">
        <f ca="1">H119+I35+I17-I47*I558</f>
        <v>288.31630022739512</v>
      </c>
      <c r="J119" s="94">
        <f ca="1">I119+J35+J17-J47*J558</f>
        <v>359.45342641063314</v>
      </c>
      <c r="K119" s="94">
        <f ca="1">J119+K35+K17-K47*K558</f>
        <v>436.68440710028415</v>
      </c>
    </row>
    <row r="120" spans="1:11" ht="13.5" customHeight="1" outlineLevel="1">
      <c r="B120" s="102" t="s">
        <v>10</v>
      </c>
      <c r="C120" s="102"/>
      <c r="D120" s="102"/>
      <c r="E120" s="103"/>
      <c r="F120" s="103">
        <f t="shared" ref="F120:K120" si="65">SUM(F116:F119)</f>
        <v>461.44499999999994</v>
      </c>
      <c r="G120" s="103">
        <f t="shared" ca="1" si="65"/>
        <v>540.37463002388427</v>
      </c>
      <c r="H120" s="103">
        <f t="shared" ca="1" si="65"/>
        <v>613.35247252984254</v>
      </c>
      <c r="I120" s="103">
        <f t="shared" ca="1" si="65"/>
        <v>690.5721020586451</v>
      </c>
      <c r="J120" s="103">
        <f t="shared" ca="1" si="65"/>
        <v>767.21807621063317</v>
      </c>
      <c r="K120" s="103">
        <f t="shared" ca="1" si="65"/>
        <v>850.23334726747157</v>
      </c>
    </row>
    <row r="121" spans="1:11" s="38" customFormat="1" ht="13.5" customHeight="1" outlineLevel="1">
      <c r="B121" s="109"/>
      <c r="C121" s="110"/>
      <c r="D121" s="110"/>
      <c r="E121" s="111"/>
      <c r="F121" s="111"/>
      <c r="G121" s="111"/>
      <c r="H121" s="111"/>
      <c r="I121" s="111"/>
      <c r="J121" s="111"/>
      <c r="K121" s="111"/>
    </row>
    <row r="122" spans="1:11" s="116" customFormat="1" ht="13.5" customHeight="1" outlineLevel="1">
      <c r="A122" s="112"/>
      <c r="B122" s="113" t="s">
        <v>1</v>
      </c>
      <c r="C122" s="113"/>
      <c r="D122" s="113"/>
      <c r="E122" s="114"/>
      <c r="F122" s="115">
        <f t="shared" ref="F122:K122" si="66">F97-F120</f>
        <v>0</v>
      </c>
      <c r="G122" s="115">
        <f t="shared" ca="1" si="66"/>
        <v>0</v>
      </c>
      <c r="H122" s="115">
        <f t="shared" ca="1" si="66"/>
        <v>0</v>
      </c>
      <c r="I122" s="115">
        <f t="shared" ca="1" si="66"/>
        <v>0</v>
      </c>
      <c r="J122" s="115">
        <f t="shared" ca="1" si="66"/>
        <v>0</v>
      </c>
      <c r="K122" s="115">
        <f t="shared" ca="1" si="66"/>
        <v>0</v>
      </c>
    </row>
    <row r="123" spans="1:11" ht="5.0999999999999996" customHeight="1" outlineLevel="1" thickBot="1">
      <c r="B123" s="117"/>
      <c r="C123" s="117"/>
      <c r="D123" s="117"/>
      <c r="E123" s="118"/>
      <c r="F123" s="118"/>
      <c r="G123" s="118"/>
      <c r="H123" s="118"/>
      <c r="I123" s="118"/>
      <c r="J123" s="118"/>
      <c r="K123" s="118"/>
    </row>
    <row r="124" spans="1:11" ht="13.5" customHeight="1" outlineLevel="1">
      <c r="B124" s="119"/>
      <c r="C124" s="119"/>
      <c r="D124" s="119"/>
    </row>
    <row r="125" spans="1:11" ht="13.5" customHeight="1" outlineLevel="1" thickBot="1">
      <c r="B125" s="119"/>
      <c r="C125" s="119"/>
      <c r="D125" s="119"/>
    </row>
    <row r="126" spans="1:11" ht="20.7" thickTop="1">
      <c r="A126" s="41" t="s">
        <v>286</v>
      </c>
      <c r="B126" s="42" t="s">
        <v>171</v>
      </c>
      <c r="C126" s="43"/>
      <c r="D126" s="44"/>
      <c r="E126" s="44"/>
      <c r="F126" s="44"/>
      <c r="G126" s="44"/>
      <c r="H126" s="44"/>
      <c r="I126" s="44"/>
      <c r="J126" s="44"/>
      <c r="K126" s="44"/>
    </row>
    <row r="127" spans="1:11" ht="5.0999999999999996" customHeight="1" outlineLevel="1">
      <c r="B127" s="45"/>
      <c r="C127" s="46"/>
    </row>
    <row r="128" spans="1:11" ht="13.5" customHeight="1" outlineLevel="1">
      <c r="B128" s="47"/>
      <c r="C128" s="47"/>
      <c r="D128" s="47"/>
      <c r="E128" s="48"/>
      <c r="F128" s="49" t="s">
        <v>285</v>
      </c>
      <c r="G128" s="50" t="s">
        <v>284</v>
      </c>
      <c r="H128" s="50"/>
      <c r="I128" s="50"/>
      <c r="J128" s="50"/>
      <c r="K128" s="50"/>
    </row>
    <row r="129" spans="2:11" ht="13.5" customHeight="1" outlineLevel="1" thickBot="1">
      <c r="B129" s="51" t="s">
        <v>9</v>
      </c>
      <c r="C129" s="52"/>
      <c r="D129" s="52"/>
      <c r="E129" s="53"/>
      <c r="F129" s="54">
        <f t="shared" ref="F129:K129" si="67">F$8</f>
        <v>44926</v>
      </c>
      <c r="G129" s="54">
        <f t="shared" si="67"/>
        <v>45291</v>
      </c>
      <c r="H129" s="54">
        <f t="shared" si="67"/>
        <v>45657</v>
      </c>
      <c r="I129" s="54">
        <f t="shared" si="67"/>
        <v>46022</v>
      </c>
      <c r="J129" s="54">
        <f t="shared" si="67"/>
        <v>46387</v>
      </c>
      <c r="K129" s="54">
        <f t="shared" si="67"/>
        <v>46752</v>
      </c>
    </row>
    <row r="130" spans="2:11" ht="5.0999999999999996" customHeight="1" outlineLevel="1">
      <c r="B130" s="55"/>
      <c r="C130" s="55"/>
      <c r="D130" s="55"/>
      <c r="E130" s="56"/>
      <c r="F130" s="56"/>
      <c r="G130" s="56"/>
      <c r="H130" s="56"/>
      <c r="I130" s="56"/>
      <c r="J130" s="56"/>
    </row>
    <row r="131" spans="2:11" ht="13.5" customHeight="1" outlineLevel="1">
      <c r="B131" s="82" t="s">
        <v>79</v>
      </c>
      <c r="C131" s="83"/>
      <c r="D131" s="84"/>
      <c r="E131" s="84"/>
      <c r="F131" s="84"/>
      <c r="G131" s="84"/>
      <c r="H131" s="84"/>
      <c r="I131" s="84"/>
      <c r="J131" s="84"/>
      <c r="K131" s="85"/>
    </row>
    <row r="132" spans="2:11" ht="13.5" customHeight="1" outlineLevel="1">
      <c r="B132" s="119"/>
      <c r="C132" s="119"/>
      <c r="D132" s="119"/>
    </row>
    <row r="133" spans="2:11" ht="13.5" customHeight="1" outlineLevel="1">
      <c r="B133" s="72" t="s">
        <v>12</v>
      </c>
      <c r="C133" s="72"/>
      <c r="D133" s="72"/>
      <c r="E133" s="72"/>
      <c r="F133" s="120"/>
      <c r="G133" s="120">
        <f ca="1">G35</f>
        <v>43.478862723884404</v>
      </c>
      <c r="H133" s="120">
        <f ca="1">H35</f>
        <v>46.973867505958239</v>
      </c>
      <c r="I133" s="120">
        <f ca="1">I35</f>
        <v>49.921419997552569</v>
      </c>
      <c r="J133" s="120">
        <f ca="1">J35</f>
        <v>58.363058683238016</v>
      </c>
      <c r="K133" s="120">
        <f ca="1">K35</f>
        <v>63.800539814651039</v>
      </c>
    </row>
    <row r="134" spans="2:11" ht="13.5" customHeight="1" outlineLevel="1">
      <c r="B134" s="95" t="s">
        <v>49</v>
      </c>
      <c r="C134" s="72"/>
      <c r="D134" s="72"/>
      <c r="E134" s="72"/>
      <c r="F134" s="121"/>
      <c r="G134" s="121">
        <f t="shared" ref="G134:K136" si="68">G15</f>
        <v>14.700000000000001</v>
      </c>
      <c r="H134" s="121">
        <f t="shared" si="68"/>
        <v>15.435</v>
      </c>
      <c r="I134" s="121">
        <f t="shared" si="68"/>
        <v>16.20675</v>
      </c>
      <c r="J134" s="121">
        <f t="shared" si="68"/>
        <v>17.017087499999999</v>
      </c>
      <c r="K134" s="121">
        <f t="shared" si="68"/>
        <v>17.867941875</v>
      </c>
    </row>
    <row r="135" spans="2:11" ht="13.5" customHeight="1" outlineLevel="1">
      <c r="B135" s="95" t="s">
        <v>15</v>
      </c>
      <c r="C135" s="72"/>
      <c r="D135" s="72"/>
      <c r="E135" s="72"/>
      <c r="F135" s="121"/>
      <c r="G135" s="121">
        <f t="shared" si="68"/>
        <v>11.6</v>
      </c>
      <c r="H135" s="121">
        <f t="shared" si="68"/>
        <v>11.6</v>
      </c>
      <c r="I135" s="121">
        <f t="shared" si="68"/>
        <v>11.6</v>
      </c>
      <c r="J135" s="121">
        <f t="shared" si="68"/>
        <v>2.6909999999999989</v>
      </c>
      <c r="K135" s="121">
        <f t="shared" si="68"/>
        <v>0</v>
      </c>
    </row>
    <row r="136" spans="2:11" ht="13.5" customHeight="1" outlineLevel="1">
      <c r="B136" s="95" t="s">
        <v>80</v>
      </c>
      <c r="C136" s="72"/>
      <c r="D136" s="72"/>
      <c r="E136" s="72"/>
      <c r="F136" s="121"/>
      <c r="G136" s="121">
        <f t="shared" si="68"/>
        <v>11.34</v>
      </c>
      <c r="H136" s="121">
        <f t="shared" si="68"/>
        <v>11.907</v>
      </c>
      <c r="I136" s="121">
        <f t="shared" si="68"/>
        <v>12.50235</v>
      </c>
      <c r="J136" s="121">
        <f t="shared" si="68"/>
        <v>13.1274675</v>
      </c>
      <c r="K136" s="121">
        <f t="shared" si="68"/>
        <v>13.783840875000001</v>
      </c>
    </row>
    <row r="137" spans="2:11" ht="13.5" customHeight="1" outlineLevel="1">
      <c r="B137" s="95" t="s">
        <v>172</v>
      </c>
      <c r="C137" s="72"/>
      <c r="D137" s="72"/>
      <c r="E137" s="72"/>
      <c r="F137" s="121"/>
      <c r="G137" s="60">
        <f>-G332</f>
        <v>0</v>
      </c>
      <c r="H137" s="60">
        <f t="shared" ref="H137:K138" si="69">-H332</f>
        <v>0</v>
      </c>
      <c r="I137" s="60">
        <f t="shared" si="69"/>
        <v>0</v>
      </c>
      <c r="J137" s="60">
        <f t="shared" si="69"/>
        <v>0</v>
      </c>
      <c r="K137" s="60">
        <f t="shared" si="69"/>
        <v>0</v>
      </c>
    </row>
    <row r="138" spans="2:11" ht="13.5" customHeight="1" outlineLevel="1">
      <c r="B138" s="95" t="s">
        <v>293</v>
      </c>
      <c r="C138" s="72"/>
      <c r="D138" s="72"/>
      <c r="E138" s="72"/>
      <c r="F138" s="60"/>
      <c r="G138" s="60">
        <f>-G333</f>
        <v>0</v>
      </c>
      <c r="H138" s="60">
        <f t="shared" si="69"/>
        <v>0</v>
      </c>
      <c r="I138" s="60">
        <f t="shared" si="69"/>
        <v>0</v>
      </c>
      <c r="J138" s="60">
        <f t="shared" si="69"/>
        <v>0</v>
      </c>
      <c r="K138" s="60">
        <f t="shared" si="69"/>
        <v>0</v>
      </c>
    </row>
    <row r="139" spans="2:11" ht="13.5" customHeight="1" outlineLevel="1">
      <c r="B139" s="95" t="str">
        <f>"PIK accrual – "&amp;B322</f>
        <v>PIK accrual – Convertible bond</v>
      </c>
      <c r="C139" s="72"/>
      <c r="D139" s="72"/>
      <c r="E139" s="72"/>
      <c r="F139" s="60"/>
      <c r="G139" s="60">
        <f>G260</f>
        <v>9.0250000000000004</v>
      </c>
      <c r="H139" s="60">
        <f t="shared" ref="H139:K139" si="70">H260</f>
        <v>9.4536875000000009</v>
      </c>
      <c r="I139" s="60">
        <f t="shared" si="70"/>
        <v>9.9027376562500002</v>
      </c>
      <c r="J139" s="60">
        <f t="shared" si="70"/>
        <v>0</v>
      </c>
      <c r="K139" s="60">
        <f t="shared" si="70"/>
        <v>0</v>
      </c>
    </row>
    <row r="140" spans="2:11" ht="13.5" customHeight="1" outlineLevel="1">
      <c r="B140" s="95" t="str">
        <f>"PIK accrual – "&amp;B323</f>
        <v>PIK accrual – Preferred stock</v>
      </c>
      <c r="C140" s="72"/>
      <c r="D140" s="72"/>
      <c r="E140" s="72"/>
      <c r="F140" s="60"/>
      <c r="G140" s="60">
        <f>G266</f>
        <v>0</v>
      </c>
      <c r="H140" s="60">
        <f t="shared" ref="H140:K140" si="71">H266</f>
        <v>0</v>
      </c>
      <c r="I140" s="60">
        <f t="shared" si="71"/>
        <v>0</v>
      </c>
      <c r="J140" s="60">
        <f t="shared" si="71"/>
        <v>0</v>
      </c>
      <c r="K140" s="60">
        <f t="shared" si="71"/>
        <v>0</v>
      </c>
    </row>
    <row r="141" spans="2:11" ht="13.5" customHeight="1" outlineLevel="1">
      <c r="B141" s="61" t="s">
        <v>81</v>
      </c>
      <c r="C141" s="61"/>
      <c r="D141" s="61"/>
      <c r="E141" s="61"/>
      <c r="F141" s="122"/>
      <c r="G141" s="122">
        <f>SUM(G134:G140)</f>
        <v>46.664999999999999</v>
      </c>
      <c r="H141" s="122">
        <f>SUM(H134:H140)</f>
        <v>48.395687500000001</v>
      </c>
      <c r="I141" s="122">
        <f>SUM(I134:I140)</f>
        <v>50.211837656249998</v>
      </c>
      <c r="J141" s="122">
        <f>SUM(J134:J140)</f>
        <v>32.835554999999999</v>
      </c>
      <c r="K141" s="122">
        <f>SUM(K134:K140)</f>
        <v>31.651782750000002</v>
      </c>
    </row>
    <row r="142" spans="2:11" ht="13.5" customHeight="1" outlineLevel="1">
      <c r="B142" s="95" t="s">
        <v>82</v>
      </c>
      <c r="C142" s="72"/>
      <c r="D142" s="72"/>
      <c r="E142" s="72"/>
      <c r="F142" s="121"/>
      <c r="G142" s="121">
        <f>F186-G186</f>
        <v>-2.9159499999999952</v>
      </c>
      <c r="H142" s="121">
        <f t="shared" ref="H142:K142" si="72">G186-H186</f>
        <v>-3.0617474999999956</v>
      </c>
      <c r="I142" s="121">
        <f t="shared" si="72"/>
        <v>-3.2148348750000366</v>
      </c>
      <c r="J142" s="121">
        <f t="shared" si="72"/>
        <v>-3.3755766187499745</v>
      </c>
      <c r="K142" s="121">
        <f t="shared" si="72"/>
        <v>-3.5443554496875009</v>
      </c>
    </row>
    <row r="143" spans="2:11" ht="13.5" customHeight="1" outlineLevel="1">
      <c r="B143" s="95" t="s">
        <v>204</v>
      </c>
      <c r="C143" s="72"/>
      <c r="D143" s="72"/>
      <c r="E143" s="72"/>
      <c r="F143" s="60"/>
      <c r="G143" s="60">
        <f ca="1">G114-F114</f>
        <v>25.680417300000006</v>
      </c>
      <c r="H143" s="60">
        <f ca="1">H114-G114</f>
        <v>0</v>
      </c>
      <c r="I143" s="60">
        <f ca="1">I114-H114</f>
        <v>0</v>
      </c>
      <c r="J143" s="60">
        <f ca="1">J114-I114</f>
        <v>0</v>
      </c>
      <c r="K143" s="60">
        <f ca="1">K114-J114</f>
        <v>0</v>
      </c>
    </row>
    <row r="144" spans="2:11" ht="13.5" customHeight="1" outlineLevel="1">
      <c r="B144" s="95" t="s">
        <v>306</v>
      </c>
      <c r="C144" s="72"/>
      <c r="D144" s="72"/>
      <c r="E144" s="72"/>
      <c r="F144" s="60"/>
      <c r="G144" s="60">
        <f>F96-G96</f>
        <v>0</v>
      </c>
      <c r="H144" s="60">
        <f>G96-H96</f>
        <v>0</v>
      </c>
      <c r="I144" s="60">
        <f>H96-I96</f>
        <v>0</v>
      </c>
      <c r="J144" s="60">
        <f>I96-J96</f>
        <v>0</v>
      </c>
      <c r="K144" s="60">
        <f>J96-K96</f>
        <v>0</v>
      </c>
    </row>
    <row r="145" spans="2:11" ht="13.5" customHeight="1" outlineLevel="1">
      <c r="B145" s="95" t="s">
        <v>307</v>
      </c>
      <c r="C145" s="72"/>
      <c r="D145" s="72"/>
      <c r="E145" s="72"/>
      <c r="F145" s="60"/>
      <c r="G145" s="60">
        <f>G115-F115</f>
        <v>0</v>
      </c>
      <c r="H145" s="60">
        <f>H115-G115</f>
        <v>0</v>
      </c>
      <c r="I145" s="60">
        <f>I115-H115</f>
        <v>0</v>
      </c>
      <c r="J145" s="60">
        <f>J115-I115</f>
        <v>0</v>
      </c>
      <c r="K145" s="60">
        <f>K115-J115</f>
        <v>0</v>
      </c>
    </row>
    <row r="146" spans="2:11" ht="13.5" customHeight="1" outlineLevel="1">
      <c r="B146" s="123" t="s">
        <v>83</v>
      </c>
      <c r="C146" s="123"/>
      <c r="D146" s="123"/>
      <c r="E146" s="123"/>
      <c r="F146" s="124"/>
      <c r="G146" s="124">
        <f ca="1">SUM(G142:G145)</f>
        <v>22.76446730000001</v>
      </c>
      <c r="H146" s="124">
        <f t="shared" ref="H146:K146" ca="1" si="73">SUM(H142:H145)</f>
        <v>-3.0617474999999956</v>
      </c>
      <c r="I146" s="124">
        <f t="shared" ca="1" si="73"/>
        <v>-3.2148348750000366</v>
      </c>
      <c r="J146" s="124">
        <f t="shared" ca="1" si="73"/>
        <v>-3.3755766187499745</v>
      </c>
      <c r="K146" s="124">
        <f t="shared" ca="1" si="73"/>
        <v>-3.5443554496875009</v>
      </c>
    </row>
    <row r="147" spans="2:11" ht="13.5" customHeight="1" outlineLevel="1">
      <c r="B147" s="125" t="s">
        <v>84</v>
      </c>
      <c r="C147" s="125"/>
      <c r="D147" s="125"/>
      <c r="E147" s="125"/>
      <c r="F147" s="126"/>
      <c r="G147" s="126">
        <f ca="1">G133+G141+G146</f>
        <v>112.90833002388442</v>
      </c>
      <c r="H147" s="126">
        <f ca="1">H133+H141+H146</f>
        <v>92.307807505958237</v>
      </c>
      <c r="I147" s="126">
        <f ca="1">I133+I141+I146</f>
        <v>96.918422778802523</v>
      </c>
      <c r="J147" s="126">
        <f ca="1">J133+J141+J146</f>
        <v>87.823037064488048</v>
      </c>
      <c r="K147" s="126">
        <f ca="1">K133+K141+K146</f>
        <v>91.90796711496354</v>
      </c>
    </row>
    <row r="148" spans="2:11" ht="13.5" customHeight="1" outlineLevel="1">
      <c r="B148" s="119"/>
      <c r="C148" s="119"/>
      <c r="D148" s="119"/>
    </row>
    <row r="149" spans="2:11" ht="13.5" customHeight="1" outlineLevel="1">
      <c r="B149" s="82" t="s">
        <v>85</v>
      </c>
      <c r="C149" s="83"/>
      <c r="D149" s="84"/>
      <c r="E149" s="84"/>
      <c r="F149" s="84"/>
      <c r="G149" s="84"/>
      <c r="H149" s="84"/>
      <c r="I149" s="84"/>
      <c r="J149" s="84"/>
      <c r="K149" s="85"/>
    </row>
    <row r="150" spans="2:11" ht="13.5" customHeight="1" outlineLevel="1">
      <c r="B150" s="119"/>
      <c r="C150" s="119"/>
      <c r="D150" s="119"/>
    </row>
    <row r="151" spans="2:11" ht="13.5" customHeight="1" outlineLevel="1">
      <c r="B151" s="65" t="s">
        <v>86</v>
      </c>
      <c r="C151" s="65"/>
      <c r="D151" s="65"/>
      <c r="E151" s="65"/>
      <c r="F151" s="58"/>
      <c r="G151" s="58">
        <f>-G46</f>
        <v>-15.96</v>
      </c>
      <c r="H151" s="58">
        <f>-H46</f>
        <v>-16.757999999999999</v>
      </c>
      <c r="I151" s="58">
        <f>-I46</f>
        <v>-17.5959</v>
      </c>
      <c r="J151" s="58">
        <f>-J46</f>
        <v>-18.475695000000002</v>
      </c>
      <c r="K151" s="58">
        <f>-K46</f>
        <v>-19.399479750000001</v>
      </c>
    </row>
    <row r="152" spans="2:11" ht="13.5" customHeight="1" outlineLevel="1">
      <c r="B152" s="119"/>
      <c r="C152" s="119"/>
      <c r="D152" s="119"/>
    </row>
    <row r="153" spans="2:11" ht="13.5" customHeight="1" outlineLevel="1">
      <c r="B153" s="82" t="s">
        <v>87</v>
      </c>
      <c r="C153" s="83"/>
      <c r="D153" s="84"/>
      <c r="E153" s="84"/>
      <c r="F153" s="84"/>
      <c r="G153" s="84"/>
      <c r="H153" s="84"/>
      <c r="I153" s="84"/>
      <c r="J153" s="84"/>
      <c r="K153" s="85"/>
    </row>
    <row r="154" spans="2:11" ht="13.5" customHeight="1" outlineLevel="1">
      <c r="B154" s="119"/>
      <c r="C154" s="119"/>
      <c r="D154" s="119"/>
    </row>
    <row r="155" spans="2:11" ht="13.5" customHeight="1" outlineLevel="1">
      <c r="B155" s="72" t="s">
        <v>34</v>
      </c>
      <c r="C155" s="119"/>
      <c r="D155" s="119"/>
      <c r="F155" s="77"/>
      <c r="G155" s="77">
        <f ca="1">G109-F109</f>
        <v>-15</v>
      </c>
      <c r="H155" s="77">
        <f ca="1">H109-G109</f>
        <v>0</v>
      </c>
      <c r="I155" s="77">
        <f ca="1">I109-H109</f>
        <v>0</v>
      </c>
      <c r="J155" s="77">
        <f ca="1">J109-I109</f>
        <v>0</v>
      </c>
      <c r="K155" s="77">
        <f ca="1">K109-J109</f>
        <v>0</v>
      </c>
    </row>
    <row r="156" spans="2:11" ht="13.5" customHeight="1" outlineLevel="1">
      <c r="B156" s="72" t="str">
        <f>B110</f>
        <v>Senior credit facility</v>
      </c>
      <c r="C156" s="119"/>
      <c r="D156" s="119"/>
      <c r="F156" s="60"/>
      <c r="G156" s="60">
        <f ca="1">G223+G231</f>
        <v>0</v>
      </c>
      <c r="H156" s="60">
        <f t="shared" ref="H156:K157" ca="1" si="74">H223+H231</f>
        <v>0</v>
      </c>
      <c r="I156" s="60">
        <f t="shared" ca="1" si="74"/>
        <v>0</v>
      </c>
      <c r="J156" s="60">
        <f t="shared" ca="1" si="74"/>
        <v>0</v>
      </c>
      <c r="K156" s="60">
        <f t="shared" ca="1" si="74"/>
        <v>0</v>
      </c>
    </row>
    <row r="157" spans="2:11" ht="13.5" customHeight="1" outlineLevel="1">
      <c r="B157" s="72" t="str">
        <f>B111</f>
        <v>Subordinated note</v>
      </c>
      <c r="C157" s="119"/>
      <c r="D157" s="119"/>
      <c r="F157" s="60"/>
      <c r="G157" s="60">
        <f ca="1">G224+G232</f>
        <v>0</v>
      </c>
      <c r="H157" s="60">
        <f t="shared" ca="1" si="74"/>
        <v>0</v>
      </c>
      <c r="I157" s="60">
        <f t="shared" ca="1" si="74"/>
        <v>0</v>
      </c>
      <c r="J157" s="60">
        <f t="shared" ca="1" si="74"/>
        <v>0</v>
      </c>
      <c r="K157" s="60">
        <f t="shared" ca="1" si="74"/>
        <v>0</v>
      </c>
    </row>
    <row r="158" spans="2:11" ht="13.5" customHeight="1" outlineLevel="1">
      <c r="B158" s="72" t="str">
        <f>B112</f>
        <v>Convertible bond</v>
      </c>
      <c r="C158" s="119"/>
      <c r="D158" s="119"/>
      <c r="F158" s="60"/>
      <c r="G158" s="60">
        <f>G225</f>
        <v>0</v>
      </c>
      <c r="H158" s="60">
        <f t="shared" ref="H158:K158" si="75">H225</f>
        <v>0</v>
      </c>
      <c r="I158" s="60">
        <f t="shared" si="75"/>
        <v>0</v>
      </c>
      <c r="J158" s="60">
        <f t="shared" si="75"/>
        <v>0</v>
      </c>
      <c r="K158" s="60">
        <f t="shared" si="75"/>
        <v>0</v>
      </c>
    </row>
    <row r="159" spans="2:11" ht="13.5" customHeight="1" outlineLevel="1">
      <c r="B159" s="72" t="str">
        <f>B118</f>
        <v>Preferred stock</v>
      </c>
      <c r="C159" s="119"/>
      <c r="D159" s="119"/>
      <c r="F159" s="60"/>
      <c r="G159" s="60">
        <f>G267</f>
        <v>0</v>
      </c>
      <c r="H159" s="60">
        <f t="shared" ref="H159:K159" si="76">H267</f>
        <v>0</v>
      </c>
      <c r="I159" s="60">
        <f t="shared" si="76"/>
        <v>0</v>
      </c>
      <c r="J159" s="60">
        <f t="shared" si="76"/>
        <v>0</v>
      </c>
      <c r="K159" s="60">
        <f t="shared" si="76"/>
        <v>0</v>
      </c>
    </row>
    <row r="160" spans="2:11" ht="13.5" customHeight="1" outlineLevel="1">
      <c r="B160" s="72" t="s">
        <v>114</v>
      </c>
      <c r="C160" s="119"/>
      <c r="D160" s="119"/>
      <c r="F160" s="60"/>
      <c r="G160" s="60">
        <f>-G47*G558</f>
        <v>-0.35340000000000005</v>
      </c>
      <c r="H160" s="60">
        <f>-H47*H558</f>
        <v>-0.35340000000000005</v>
      </c>
      <c r="I160" s="60">
        <f>-I47*I558</f>
        <v>-0.35340000000000005</v>
      </c>
      <c r="J160" s="60">
        <f>-J47*J558</f>
        <v>-0.35340000000000005</v>
      </c>
      <c r="K160" s="60">
        <f>-K47*K558</f>
        <v>-0.35340000000000005</v>
      </c>
    </row>
    <row r="161" spans="1:11" ht="13.5" customHeight="1" outlineLevel="1">
      <c r="B161" s="125" t="s">
        <v>88</v>
      </c>
      <c r="C161" s="125"/>
      <c r="D161" s="125"/>
      <c r="E161" s="125"/>
      <c r="F161" s="126"/>
      <c r="G161" s="126">
        <f ca="1">SUM(G155:OFFSET(G161,-1,0))</f>
        <v>-15.353400000000001</v>
      </c>
      <c r="H161" s="126">
        <f ca="1">SUM(H155:OFFSET(H161,-1,0))</f>
        <v>-0.35340000000000005</v>
      </c>
      <c r="I161" s="126">
        <f ca="1">SUM(I155:OFFSET(I161,-1,0))</f>
        <v>-0.35340000000000005</v>
      </c>
      <c r="J161" s="126">
        <f ca="1">SUM(J155:OFFSET(J161,-1,0))</f>
        <v>-0.35340000000000005</v>
      </c>
      <c r="K161" s="126">
        <f ca="1">SUM(K155:OFFSET(K161,-1,0))</f>
        <v>-0.35340000000000005</v>
      </c>
    </row>
    <row r="162" spans="1:11" ht="13.5" customHeight="1" outlineLevel="1">
      <c r="B162" s="119"/>
      <c r="C162" s="119"/>
      <c r="D162" s="119"/>
    </row>
    <row r="163" spans="1:11" ht="13.5" customHeight="1" outlineLevel="1">
      <c r="B163" s="72" t="s">
        <v>89</v>
      </c>
      <c r="C163" s="119"/>
      <c r="D163" s="119"/>
      <c r="F163" s="77"/>
      <c r="G163" s="77">
        <f ca="1">G147+G151+G161</f>
        <v>81.594930023884416</v>
      </c>
      <c r="H163" s="77">
        <f t="shared" ref="H163:K163" ca="1" si="77">H147+H151+H161</f>
        <v>75.196407505958248</v>
      </c>
      <c r="I163" s="77">
        <f t="shared" ca="1" si="77"/>
        <v>78.969122778802529</v>
      </c>
      <c r="J163" s="77">
        <f t="shared" ca="1" si="77"/>
        <v>68.993942064488053</v>
      </c>
      <c r="K163" s="77">
        <f t="shared" ca="1" si="77"/>
        <v>72.155087364963549</v>
      </c>
    </row>
    <row r="164" spans="1:11" ht="5.0999999999999996" customHeight="1" outlineLevel="1" thickBot="1">
      <c r="B164" s="127"/>
      <c r="C164" s="127"/>
      <c r="D164" s="127"/>
      <c r="E164" s="90"/>
      <c r="F164" s="90"/>
      <c r="G164" s="90"/>
      <c r="H164" s="90"/>
      <c r="I164" s="90"/>
      <c r="J164" s="90"/>
      <c r="K164" s="90"/>
    </row>
    <row r="165" spans="1:11" ht="13.5" customHeight="1" outlineLevel="1"/>
    <row r="166" spans="1:11" ht="13.5" customHeight="1" outlineLevel="1" thickBot="1"/>
    <row r="167" spans="1:11" ht="20.7" thickTop="1">
      <c r="A167" s="41" t="s">
        <v>286</v>
      </c>
      <c r="B167" s="42" t="s">
        <v>164</v>
      </c>
      <c r="C167" s="43"/>
      <c r="D167" s="44"/>
      <c r="E167" s="44"/>
      <c r="F167" s="44"/>
      <c r="G167" s="44"/>
      <c r="H167" s="44"/>
      <c r="I167" s="44"/>
      <c r="J167" s="44"/>
      <c r="K167" s="44"/>
    </row>
    <row r="168" spans="1:11" ht="5.0999999999999996" customHeight="1" outlineLevel="1">
      <c r="B168" s="45"/>
      <c r="C168" s="46"/>
    </row>
    <row r="169" spans="1:11" ht="13.5" customHeight="1" outlineLevel="1">
      <c r="B169" s="47"/>
      <c r="C169" s="47"/>
      <c r="D169" s="47"/>
      <c r="E169" s="48"/>
      <c r="F169" s="49" t="s">
        <v>285</v>
      </c>
      <c r="G169" s="50" t="s">
        <v>284</v>
      </c>
      <c r="H169" s="50"/>
      <c r="I169" s="50"/>
      <c r="J169" s="50"/>
      <c r="K169" s="50"/>
    </row>
    <row r="170" spans="1:11" ht="13.5" customHeight="1" outlineLevel="1" thickBot="1">
      <c r="B170" s="51" t="s">
        <v>9</v>
      </c>
      <c r="C170" s="52"/>
      <c r="D170" s="52"/>
      <c r="E170" s="53"/>
      <c r="F170" s="54">
        <f t="shared" ref="F170:K170" si="78">F$8</f>
        <v>44926</v>
      </c>
      <c r="G170" s="54">
        <f t="shared" si="78"/>
        <v>45291</v>
      </c>
      <c r="H170" s="54">
        <f t="shared" si="78"/>
        <v>45657</v>
      </c>
      <c r="I170" s="54">
        <f t="shared" si="78"/>
        <v>46022</v>
      </c>
      <c r="J170" s="54">
        <f t="shared" si="78"/>
        <v>46387</v>
      </c>
      <c r="K170" s="54">
        <f t="shared" si="78"/>
        <v>46752</v>
      </c>
    </row>
    <row r="171" spans="1:11" ht="5.0999999999999996" customHeight="1" outlineLevel="1">
      <c r="B171" s="55"/>
      <c r="C171" s="55"/>
      <c r="D171" s="55"/>
      <c r="E171" s="56"/>
      <c r="F171" s="56"/>
      <c r="G171" s="56"/>
      <c r="H171" s="56"/>
      <c r="I171" s="56"/>
      <c r="J171" s="56"/>
    </row>
    <row r="172" spans="1:11" ht="13.5" customHeight="1" outlineLevel="1">
      <c r="B172" s="82" t="s">
        <v>41</v>
      </c>
      <c r="C172" s="83"/>
      <c r="D172" s="84"/>
      <c r="E172" s="84"/>
      <c r="F172" s="84"/>
      <c r="G172" s="84"/>
      <c r="H172" s="84"/>
      <c r="I172" s="84"/>
      <c r="J172" s="84"/>
      <c r="K172" s="85"/>
    </row>
    <row r="173" spans="1:11" ht="13.5" customHeight="1" outlineLevel="1">
      <c r="B173" s="119"/>
      <c r="C173" s="119"/>
      <c r="D173" s="119"/>
    </row>
    <row r="174" spans="1:11" ht="13.5" customHeight="1" outlineLevel="1">
      <c r="B174" s="95" t="str">
        <f>B85</f>
        <v>Accounts receivable</v>
      </c>
      <c r="C174" s="72"/>
      <c r="D174" s="72"/>
      <c r="E174" s="120"/>
      <c r="F174" s="128">
        <f>F85</f>
        <v>136.44300000000001</v>
      </c>
      <c r="G174" s="129">
        <f t="shared" ref="G174:K177" si="79">CHOOSE($E194,G$190,G$191)*G194/G$3</f>
        <v>143.26515000000003</v>
      </c>
      <c r="H174" s="129">
        <f t="shared" si="79"/>
        <v>150.42840750000002</v>
      </c>
      <c r="I174" s="129">
        <f t="shared" si="79"/>
        <v>157.94982787500004</v>
      </c>
      <c r="J174" s="129">
        <f t="shared" si="79"/>
        <v>165.84731926875003</v>
      </c>
      <c r="K174" s="129">
        <f t="shared" si="79"/>
        <v>174.13968523218753</v>
      </c>
    </row>
    <row r="175" spans="1:11" ht="13.5" customHeight="1" outlineLevel="1">
      <c r="B175" s="95" t="str">
        <f>B86</f>
        <v>Inventory</v>
      </c>
      <c r="C175" s="72"/>
      <c r="D175" s="72"/>
      <c r="E175" s="121"/>
      <c r="F175" s="130">
        <f>F86</f>
        <v>0</v>
      </c>
      <c r="G175" s="131">
        <f t="shared" si="79"/>
        <v>0</v>
      </c>
      <c r="H175" s="131">
        <f t="shared" si="79"/>
        <v>0</v>
      </c>
      <c r="I175" s="131">
        <f t="shared" si="79"/>
        <v>0</v>
      </c>
      <c r="J175" s="131">
        <f t="shared" si="79"/>
        <v>0</v>
      </c>
      <c r="K175" s="131">
        <f t="shared" si="79"/>
        <v>0</v>
      </c>
    </row>
    <row r="176" spans="1:11" ht="13.5" customHeight="1" outlineLevel="1">
      <c r="B176" s="95" t="str">
        <f>B87</f>
        <v>Deferred tax asset, current</v>
      </c>
      <c r="C176" s="72"/>
      <c r="D176" s="72"/>
      <c r="E176" s="121"/>
      <c r="F176" s="130">
        <f>F87</f>
        <v>8.8279999999999994</v>
      </c>
      <c r="G176" s="131">
        <f t="shared" si="79"/>
        <v>9.2693999999999992</v>
      </c>
      <c r="H176" s="131">
        <f t="shared" si="79"/>
        <v>9.7328700000000001</v>
      </c>
      <c r="I176" s="131">
        <f t="shared" si="79"/>
        <v>10.2195135</v>
      </c>
      <c r="J176" s="131">
        <f t="shared" si="79"/>
        <v>10.730489174999999</v>
      </c>
      <c r="K176" s="131">
        <f t="shared" si="79"/>
        <v>11.26701363375</v>
      </c>
    </row>
    <row r="177" spans="2:11" ht="13.5" customHeight="1" outlineLevel="1">
      <c r="B177" s="95" t="str">
        <f>B88</f>
        <v>Other current assets</v>
      </c>
      <c r="C177" s="72"/>
      <c r="D177" s="72"/>
      <c r="E177" s="121"/>
      <c r="F177" s="130">
        <f>F88</f>
        <v>8.2230000000000008</v>
      </c>
      <c r="G177" s="131">
        <f t="shared" si="79"/>
        <v>8.6341500000000018</v>
      </c>
      <c r="H177" s="131">
        <f t="shared" si="79"/>
        <v>9.0658574999999999</v>
      </c>
      <c r="I177" s="131">
        <f t="shared" si="79"/>
        <v>9.5191503750000024</v>
      </c>
      <c r="J177" s="131">
        <f t="shared" si="79"/>
        <v>9.9951078937500011</v>
      </c>
      <c r="K177" s="131">
        <f t="shared" si="79"/>
        <v>10.494863288437502</v>
      </c>
    </row>
    <row r="178" spans="2:11" ht="13.5" customHeight="1" outlineLevel="1">
      <c r="B178" s="61" t="s">
        <v>36</v>
      </c>
      <c r="C178" s="61"/>
      <c r="D178" s="61"/>
      <c r="E178" s="61"/>
      <c r="F178" s="122">
        <f>SUM(F174:F177)</f>
        <v>153.49400000000003</v>
      </c>
      <c r="G178" s="122">
        <f t="shared" ref="G178:K178" si="80">SUM(G174:G177)</f>
        <v>161.16870000000003</v>
      </c>
      <c r="H178" s="122">
        <f t="shared" si="80"/>
        <v>169.227135</v>
      </c>
      <c r="I178" s="122">
        <f t="shared" si="80"/>
        <v>177.68849175000005</v>
      </c>
      <c r="J178" s="122">
        <f t="shared" si="80"/>
        <v>186.57291633750003</v>
      </c>
      <c r="K178" s="122">
        <f t="shared" si="80"/>
        <v>195.90156215437503</v>
      </c>
    </row>
    <row r="179" spans="2:11" ht="13.5" customHeight="1" outlineLevel="1">
      <c r="B179" s="95" t="str">
        <f t="shared" ref="B179:B184" si="81">B101</f>
        <v>Accounts payable</v>
      </c>
      <c r="C179" s="72"/>
      <c r="D179" s="72"/>
      <c r="E179" s="120"/>
      <c r="F179" s="130">
        <f t="shared" ref="F179:F184" si="82">F101</f>
        <v>20.661999999999999</v>
      </c>
      <c r="G179" s="131">
        <f t="shared" ref="G179:K184" si="83">CHOOSE($E199,G$190,G$191)*G199/G$3</f>
        <v>21.6951</v>
      </c>
      <c r="H179" s="131">
        <f t="shared" si="83"/>
        <v>22.779854999999998</v>
      </c>
      <c r="I179" s="131">
        <f t="shared" si="83"/>
        <v>23.918847750000001</v>
      </c>
      <c r="J179" s="131">
        <f t="shared" si="83"/>
        <v>25.114790137499998</v>
      </c>
      <c r="K179" s="131">
        <f t="shared" si="83"/>
        <v>26.370529644375001</v>
      </c>
    </row>
    <row r="180" spans="2:11" ht="13.5" customHeight="1" outlineLevel="1">
      <c r="B180" s="95" t="str">
        <f t="shared" si="81"/>
        <v>Accrued expenses</v>
      </c>
      <c r="C180" s="72"/>
      <c r="D180" s="72"/>
      <c r="E180" s="121"/>
      <c r="F180" s="130">
        <f t="shared" si="82"/>
        <v>15.38</v>
      </c>
      <c r="G180" s="131">
        <f t="shared" si="83"/>
        <v>16.149000000000001</v>
      </c>
      <c r="H180" s="131">
        <f t="shared" si="83"/>
        <v>16.956449999999997</v>
      </c>
      <c r="I180" s="131">
        <f t="shared" si="83"/>
        <v>17.8042725</v>
      </c>
      <c r="J180" s="131">
        <f t="shared" si="83"/>
        <v>18.694486125000001</v>
      </c>
      <c r="K180" s="131">
        <f t="shared" si="83"/>
        <v>19.629210431250002</v>
      </c>
    </row>
    <row r="181" spans="2:11" ht="13.5" customHeight="1" outlineLevel="1">
      <c r="B181" s="95" t="str">
        <f t="shared" si="81"/>
        <v>Client deposits</v>
      </c>
      <c r="C181" s="72"/>
      <c r="D181" s="72"/>
      <c r="E181" s="121"/>
      <c r="F181" s="130">
        <f t="shared" si="82"/>
        <v>0</v>
      </c>
      <c r="G181" s="131">
        <f t="shared" si="83"/>
        <v>0</v>
      </c>
      <c r="H181" s="131">
        <f t="shared" si="83"/>
        <v>0</v>
      </c>
      <c r="I181" s="131">
        <f t="shared" si="83"/>
        <v>0</v>
      </c>
      <c r="J181" s="131">
        <f t="shared" si="83"/>
        <v>0</v>
      </c>
      <c r="K181" s="131">
        <f t="shared" si="83"/>
        <v>0</v>
      </c>
    </row>
    <row r="182" spans="2:11" ht="13.5" customHeight="1" outlineLevel="1">
      <c r="B182" s="95" t="str">
        <f t="shared" si="81"/>
        <v>Income taxes payable</v>
      </c>
      <c r="C182" s="72"/>
      <c r="D182" s="72"/>
      <c r="E182" s="121"/>
      <c r="F182" s="130">
        <f t="shared" si="82"/>
        <v>2.9359999999999999</v>
      </c>
      <c r="G182" s="131">
        <f t="shared" si="83"/>
        <v>3.0827999999999998</v>
      </c>
      <c r="H182" s="131">
        <f t="shared" si="83"/>
        <v>3.2369399999999997</v>
      </c>
      <c r="I182" s="131">
        <f t="shared" si="83"/>
        <v>3.398787</v>
      </c>
      <c r="J182" s="131">
        <f t="shared" si="83"/>
        <v>3.5687263499999999</v>
      </c>
      <c r="K182" s="131">
        <f t="shared" si="83"/>
        <v>3.7471626674999996</v>
      </c>
    </row>
    <row r="183" spans="2:11" ht="13.5" customHeight="1" outlineLevel="1">
      <c r="B183" s="95" t="str">
        <f t="shared" si="81"/>
        <v>Deferred revenue</v>
      </c>
      <c r="C183" s="72"/>
      <c r="D183" s="72"/>
      <c r="E183" s="121"/>
      <c r="F183" s="130">
        <f t="shared" si="82"/>
        <v>20.013000000000002</v>
      </c>
      <c r="G183" s="131">
        <f t="shared" si="83"/>
        <v>21.013650000000002</v>
      </c>
      <c r="H183" s="131">
        <f t="shared" si="83"/>
        <v>22.064332500000003</v>
      </c>
      <c r="I183" s="131">
        <f t="shared" si="83"/>
        <v>23.167549125000001</v>
      </c>
      <c r="J183" s="131">
        <f t="shared" si="83"/>
        <v>24.325926581250002</v>
      </c>
      <c r="K183" s="131">
        <f t="shared" si="83"/>
        <v>25.542222910312503</v>
      </c>
    </row>
    <row r="184" spans="2:11" ht="13.5" customHeight="1" outlineLevel="1">
      <c r="B184" s="95" t="str">
        <f t="shared" si="81"/>
        <v>Other current liabilities</v>
      </c>
      <c r="C184" s="72"/>
      <c r="D184" s="72"/>
      <c r="E184" s="121"/>
      <c r="F184" s="130">
        <f t="shared" si="82"/>
        <v>36.183999999999997</v>
      </c>
      <c r="G184" s="131">
        <f t="shared" si="83"/>
        <v>37.993199999999995</v>
      </c>
      <c r="H184" s="131">
        <f t="shared" si="83"/>
        <v>39.892859999999992</v>
      </c>
      <c r="I184" s="131">
        <f t="shared" si="83"/>
        <v>41.887502999999995</v>
      </c>
      <c r="J184" s="131">
        <f t="shared" si="83"/>
        <v>43.98187815</v>
      </c>
      <c r="K184" s="131">
        <f t="shared" si="83"/>
        <v>46.180972057499993</v>
      </c>
    </row>
    <row r="185" spans="2:11" ht="13.5" customHeight="1" outlineLevel="1">
      <c r="B185" s="61" t="s">
        <v>37</v>
      </c>
      <c r="C185" s="61"/>
      <c r="D185" s="61"/>
      <c r="E185" s="61"/>
      <c r="F185" s="122">
        <f>SUM(F179:F184)</f>
        <v>95.174999999999997</v>
      </c>
      <c r="G185" s="122">
        <f t="shared" ref="G185:K185" si="84">SUM(G179:G184)</f>
        <v>99.933750000000003</v>
      </c>
      <c r="H185" s="122">
        <f t="shared" si="84"/>
        <v>104.93043749999998</v>
      </c>
      <c r="I185" s="122">
        <f t="shared" si="84"/>
        <v>110.176959375</v>
      </c>
      <c r="J185" s="122">
        <f t="shared" si="84"/>
        <v>115.68580734375</v>
      </c>
      <c r="K185" s="122">
        <f t="shared" si="84"/>
        <v>121.47009771093749</v>
      </c>
    </row>
    <row r="186" spans="2:11" ht="13.5" customHeight="1" outlineLevel="1">
      <c r="B186" s="125" t="s">
        <v>38</v>
      </c>
      <c r="C186" s="125"/>
      <c r="D186" s="125"/>
      <c r="E186" s="132"/>
      <c r="F186" s="126">
        <f>F178-F185</f>
        <v>58.319000000000031</v>
      </c>
      <c r="G186" s="126">
        <f t="shared" ref="G186:K186" si="85">G178-G185</f>
        <v>61.234950000000026</v>
      </c>
      <c r="H186" s="126">
        <f t="shared" si="85"/>
        <v>64.296697500000022</v>
      </c>
      <c r="I186" s="126">
        <f t="shared" si="85"/>
        <v>67.511532375000058</v>
      </c>
      <c r="J186" s="126">
        <f t="shared" si="85"/>
        <v>70.887108993750033</v>
      </c>
      <c r="K186" s="126">
        <f t="shared" si="85"/>
        <v>74.431464443437534</v>
      </c>
    </row>
    <row r="187" spans="2:11" ht="13.5" customHeight="1" outlineLevel="1"/>
    <row r="188" spans="2:11" ht="13.5" customHeight="1" outlineLevel="1">
      <c r="B188" s="82" t="s">
        <v>42</v>
      </c>
      <c r="C188" s="83"/>
      <c r="D188" s="84"/>
      <c r="E188" s="84"/>
      <c r="F188" s="84"/>
      <c r="G188" s="84"/>
      <c r="H188" s="84"/>
      <c r="I188" s="84"/>
      <c r="J188" s="84"/>
      <c r="K188" s="85"/>
    </row>
    <row r="189" spans="2:11" ht="13.5" customHeight="1" outlineLevel="1">
      <c r="B189" s="72"/>
      <c r="C189" s="72"/>
      <c r="D189" s="72"/>
      <c r="E189" s="72"/>
    </row>
    <row r="190" spans="2:11" ht="13.5" customHeight="1" outlineLevel="1">
      <c r="B190" s="72" t="s">
        <v>43</v>
      </c>
      <c r="C190" s="72"/>
      <c r="D190" s="72"/>
      <c r="E190" s="120"/>
      <c r="F190" s="133">
        <f t="shared" ref="F190:K191" si="86">F10</f>
        <v>440.8</v>
      </c>
      <c r="G190" s="133">
        <f t="shared" si="86"/>
        <v>462.84000000000003</v>
      </c>
      <c r="H190" s="133">
        <f t="shared" si="86"/>
        <v>485.98200000000003</v>
      </c>
      <c r="I190" s="133">
        <f t="shared" si="86"/>
        <v>510.28110000000004</v>
      </c>
      <c r="J190" s="133">
        <f t="shared" si="86"/>
        <v>535.79515500000002</v>
      </c>
      <c r="K190" s="133">
        <f t="shared" si="86"/>
        <v>562.58491275000006</v>
      </c>
    </row>
    <row r="191" spans="2:11" ht="13.5" customHeight="1" outlineLevel="1">
      <c r="B191" s="72" t="s">
        <v>44</v>
      </c>
      <c r="C191" s="72"/>
      <c r="D191" s="72"/>
      <c r="E191" s="121"/>
      <c r="F191" s="131">
        <f t="shared" si="86"/>
        <v>234.4</v>
      </c>
      <c r="G191" s="131">
        <f t="shared" si="86"/>
        <v>246.12</v>
      </c>
      <c r="H191" s="131">
        <f t="shared" si="86"/>
        <v>258.42599999999999</v>
      </c>
      <c r="I191" s="131">
        <f t="shared" si="86"/>
        <v>271.34730000000002</v>
      </c>
      <c r="J191" s="131">
        <f t="shared" si="86"/>
        <v>284.91466500000001</v>
      </c>
      <c r="K191" s="131">
        <f t="shared" si="86"/>
        <v>299.16039825000001</v>
      </c>
    </row>
    <row r="192" spans="2:11" ht="13.5" customHeight="1" outlineLevel="1">
      <c r="B192" s="134" t="s">
        <v>134</v>
      </c>
      <c r="C192" s="72"/>
      <c r="E192" s="135"/>
      <c r="F192" s="131"/>
      <c r="G192" s="131">
        <f t="shared" ref="G192:K192" si="87">G175-F175+G191</f>
        <v>246.12</v>
      </c>
      <c r="H192" s="131">
        <f t="shared" si="87"/>
        <v>258.42599999999999</v>
      </c>
      <c r="I192" s="131">
        <f t="shared" si="87"/>
        <v>271.34730000000002</v>
      </c>
      <c r="J192" s="131">
        <f t="shared" si="87"/>
        <v>284.91466500000001</v>
      </c>
      <c r="K192" s="131">
        <f t="shared" si="87"/>
        <v>299.16039825000001</v>
      </c>
    </row>
    <row r="193" spans="2:11" ht="13.5" customHeight="1" outlineLevel="1">
      <c r="E193" s="136" t="s">
        <v>76</v>
      </c>
    </row>
    <row r="194" spans="2:11" ht="13.5" customHeight="1" outlineLevel="1">
      <c r="B194" s="134" t="str">
        <f>B174&amp;" / "&amp;CHOOSE(E194,"sales","COGS")</f>
        <v>Accounts receivable / sales</v>
      </c>
      <c r="C194" s="72"/>
      <c r="E194" s="213">
        <v>1</v>
      </c>
      <c r="F194" s="137">
        <f>F174/(CHOOSE($E194,F$190,F$191)/F$3)</f>
        <v>0.30953493647912889</v>
      </c>
      <c r="G194" s="138">
        <f>F194</f>
        <v>0.30953493647912889</v>
      </c>
      <c r="H194" s="138">
        <f t="shared" ref="H194:K197" si="88">G194</f>
        <v>0.30953493647912889</v>
      </c>
      <c r="I194" s="138">
        <f t="shared" si="88"/>
        <v>0.30953493647912889</v>
      </c>
      <c r="J194" s="138">
        <f t="shared" si="88"/>
        <v>0.30953493647912889</v>
      </c>
      <c r="K194" s="138">
        <f t="shared" si="88"/>
        <v>0.30953493647912889</v>
      </c>
    </row>
    <row r="195" spans="2:11" ht="13.5" customHeight="1" outlineLevel="1">
      <c r="B195" s="134" t="str">
        <f>B175&amp;" / "&amp;CHOOSE(E195,"sales","COGS")</f>
        <v>Inventory / COGS</v>
      </c>
      <c r="C195" s="72"/>
      <c r="E195" s="213">
        <v>2</v>
      </c>
      <c r="F195" s="137">
        <f>F175/(CHOOSE($E195,F$190,F$191)/F$3)</f>
        <v>0</v>
      </c>
      <c r="G195" s="138">
        <f t="shared" ref="G195:G197" si="89">F195</f>
        <v>0</v>
      </c>
      <c r="H195" s="138">
        <f t="shared" si="88"/>
        <v>0</v>
      </c>
      <c r="I195" s="138">
        <f t="shared" si="88"/>
        <v>0</v>
      </c>
      <c r="J195" s="138">
        <f t="shared" si="88"/>
        <v>0</v>
      </c>
      <c r="K195" s="138">
        <f t="shared" si="88"/>
        <v>0</v>
      </c>
    </row>
    <row r="196" spans="2:11" ht="13.5" customHeight="1" outlineLevel="1">
      <c r="B196" s="134" t="str">
        <f>B176&amp;" / "&amp;CHOOSE(E196,"sales","COGS")</f>
        <v>Deferred tax asset, current / sales</v>
      </c>
      <c r="C196" s="72"/>
      <c r="E196" s="213">
        <v>1</v>
      </c>
      <c r="F196" s="137">
        <f>F176/(CHOOSE($E196,F$190,F$191)/F$3)</f>
        <v>2.0027223230490016E-2</v>
      </c>
      <c r="G196" s="138">
        <f t="shared" si="89"/>
        <v>2.0027223230490016E-2</v>
      </c>
      <c r="H196" s="138">
        <f t="shared" si="88"/>
        <v>2.0027223230490016E-2</v>
      </c>
      <c r="I196" s="138">
        <f t="shared" si="88"/>
        <v>2.0027223230490016E-2</v>
      </c>
      <c r="J196" s="138">
        <f t="shared" si="88"/>
        <v>2.0027223230490016E-2</v>
      </c>
      <c r="K196" s="138">
        <f t="shared" si="88"/>
        <v>2.0027223230490016E-2</v>
      </c>
    </row>
    <row r="197" spans="2:11" ht="13.5" customHeight="1" outlineLevel="1">
      <c r="B197" s="134" t="str">
        <f>B177&amp;" / "&amp;CHOOSE(E197,"sales","COGS")</f>
        <v>Other current assets / COGS</v>
      </c>
      <c r="C197" s="72"/>
      <c r="E197" s="213">
        <v>2</v>
      </c>
      <c r="F197" s="137">
        <f>F177/(CHOOSE($E197,F$190,F$191)/F$3)</f>
        <v>3.5081058020477819E-2</v>
      </c>
      <c r="G197" s="138">
        <f t="shared" si="89"/>
        <v>3.5081058020477819E-2</v>
      </c>
      <c r="H197" s="138">
        <f t="shared" si="88"/>
        <v>3.5081058020477819E-2</v>
      </c>
      <c r="I197" s="138">
        <f t="shared" si="88"/>
        <v>3.5081058020477819E-2</v>
      </c>
      <c r="J197" s="138">
        <f t="shared" si="88"/>
        <v>3.5081058020477819E-2</v>
      </c>
      <c r="K197" s="138">
        <f t="shared" si="88"/>
        <v>3.5081058020477819E-2</v>
      </c>
    </row>
    <row r="198" spans="2:11" ht="13.5" customHeight="1" outlineLevel="1">
      <c r="B198" s="72"/>
      <c r="C198" s="72"/>
      <c r="E198" s="72"/>
      <c r="F198" s="38"/>
      <c r="G198" s="38"/>
      <c r="H198" s="38"/>
      <c r="I198" s="38"/>
      <c r="J198" s="38"/>
      <c r="K198" s="38"/>
    </row>
    <row r="199" spans="2:11" ht="13.5" customHeight="1" outlineLevel="1">
      <c r="B199" s="134" t="str">
        <f t="shared" ref="B199:B204" si="90">B179&amp;" / "&amp;CHOOSE(E199,"sales","COGS")</f>
        <v>Accounts payable / COGS</v>
      </c>
      <c r="C199" s="72"/>
      <c r="E199" s="213">
        <v>2</v>
      </c>
      <c r="F199" s="137">
        <f t="shared" ref="F199:F204" si="91">F179/(CHOOSE($E199,F$190,F$191)/F$3)</f>
        <v>8.8148464163822521E-2</v>
      </c>
      <c r="G199" s="138">
        <f>F199</f>
        <v>8.8148464163822521E-2</v>
      </c>
      <c r="H199" s="138">
        <f t="shared" ref="H199:K204" si="92">G199</f>
        <v>8.8148464163822521E-2</v>
      </c>
      <c r="I199" s="138">
        <f t="shared" si="92"/>
        <v>8.8148464163822521E-2</v>
      </c>
      <c r="J199" s="138">
        <f t="shared" si="92"/>
        <v>8.8148464163822521E-2</v>
      </c>
      <c r="K199" s="138">
        <f t="shared" si="92"/>
        <v>8.8148464163822521E-2</v>
      </c>
    </row>
    <row r="200" spans="2:11" ht="13.5" customHeight="1" outlineLevel="1">
      <c r="B200" s="134" t="str">
        <f t="shared" si="90"/>
        <v>Accrued expenses / COGS</v>
      </c>
      <c r="C200" s="72"/>
      <c r="E200" s="213">
        <v>2</v>
      </c>
      <c r="F200" s="137">
        <f t="shared" si="91"/>
        <v>6.5614334470989757E-2</v>
      </c>
      <c r="G200" s="138">
        <f t="shared" ref="G200:G204" si="93">F200</f>
        <v>6.5614334470989757E-2</v>
      </c>
      <c r="H200" s="138">
        <f t="shared" si="92"/>
        <v>6.5614334470989757E-2</v>
      </c>
      <c r="I200" s="138">
        <f t="shared" si="92"/>
        <v>6.5614334470989757E-2</v>
      </c>
      <c r="J200" s="138">
        <f t="shared" si="92"/>
        <v>6.5614334470989757E-2</v>
      </c>
      <c r="K200" s="138">
        <f t="shared" si="92"/>
        <v>6.5614334470989757E-2</v>
      </c>
    </row>
    <row r="201" spans="2:11" ht="13.5" customHeight="1" outlineLevel="1">
      <c r="B201" s="134" t="str">
        <f t="shared" si="90"/>
        <v>Client deposits / sales</v>
      </c>
      <c r="C201" s="72"/>
      <c r="E201" s="213">
        <v>1</v>
      </c>
      <c r="F201" s="137">
        <f t="shared" si="91"/>
        <v>0</v>
      </c>
      <c r="G201" s="138">
        <f t="shared" si="93"/>
        <v>0</v>
      </c>
      <c r="H201" s="138">
        <f t="shared" si="92"/>
        <v>0</v>
      </c>
      <c r="I201" s="138">
        <f t="shared" si="92"/>
        <v>0</v>
      </c>
      <c r="J201" s="138">
        <f t="shared" si="92"/>
        <v>0</v>
      </c>
      <c r="K201" s="138">
        <f t="shared" si="92"/>
        <v>0</v>
      </c>
    </row>
    <row r="202" spans="2:11" ht="13.5" customHeight="1" outlineLevel="1">
      <c r="B202" s="134" t="str">
        <f t="shared" si="90"/>
        <v>Income taxes payable / COGS</v>
      </c>
      <c r="C202" s="72"/>
      <c r="E202" s="213">
        <v>2</v>
      </c>
      <c r="F202" s="137">
        <f t="shared" si="91"/>
        <v>1.2525597269624572E-2</v>
      </c>
      <c r="G202" s="138">
        <f t="shared" si="93"/>
        <v>1.2525597269624572E-2</v>
      </c>
      <c r="H202" s="138">
        <f t="shared" si="92"/>
        <v>1.2525597269624572E-2</v>
      </c>
      <c r="I202" s="138">
        <f t="shared" si="92"/>
        <v>1.2525597269624572E-2</v>
      </c>
      <c r="J202" s="138">
        <f t="shared" si="92"/>
        <v>1.2525597269624572E-2</v>
      </c>
      <c r="K202" s="138">
        <f t="shared" si="92"/>
        <v>1.2525597269624572E-2</v>
      </c>
    </row>
    <row r="203" spans="2:11" ht="13.5" customHeight="1" outlineLevel="1">
      <c r="B203" s="134" t="str">
        <f t="shared" si="90"/>
        <v>Deferred revenue / sales</v>
      </c>
      <c r="C203" s="72"/>
      <c r="E203" s="213">
        <v>1</v>
      </c>
      <c r="F203" s="137">
        <f t="shared" si="91"/>
        <v>4.5401542649727768E-2</v>
      </c>
      <c r="G203" s="138">
        <f t="shared" si="93"/>
        <v>4.5401542649727768E-2</v>
      </c>
      <c r="H203" s="138">
        <f t="shared" si="92"/>
        <v>4.5401542649727768E-2</v>
      </c>
      <c r="I203" s="138">
        <f t="shared" si="92"/>
        <v>4.5401542649727768E-2</v>
      </c>
      <c r="J203" s="138">
        <f t="shared" si="92"/>
        <v>4.5401542649727768E-2</v>
      </c>
      <c r="K203" s="138">
        <f t="shared" si="92"/>
        <v>4.5401542649727768E-2</v>
      </c>
    </row>
    <row r="204" spans="2:11" ht="13.5" customHeight="1" outlineLevel="1">
      <c r="B204" s="134" t="str">
        <f t="shared" si="90"/>
        <v>Other current liabilities / COGS</v>
      </c>
      <c r="C204" s="72"/>
      <c r="E204" s="213">
        <v>2</v>
      </c>
      <c r="F204" s="137">
        <f t="shared" si="91"/>
        <v>0.15436860068259384</v>
      </c>
      <c r="G204" s="138">
        <f t="shared" si="93"/>
        <v>0.15436860068259384</v>
      </c>
      <c r="H204" s="138">
        <f t="shared" si="92"/>
        <v>0.15436860068259384</v>
      </c>
      <c r="I204" s="138">
        <f t="shared" si="92"/>
        <v>0.15436860068259384</v>
      </c>
      <c r="J204" s="138">
        <f t="shared" si="92"/>
        <v>0.15436860068259384</v>
      </c>
      <c r="K204" s="138">
        <f t="shared" si="92"/>
        <v>0.15436860068259384</v>
      </c>
    </row>
    <row r="205" spans="2:11" ht="13.5" customHeight="1" outlineLevel="1">
      <c r="B205" s="134"/>
      <c r="C205" s="72"/>
      <c r="E205" s="139"/>
      <c r="F205" s="137"/>
      <c r="G205" s="138"/>
      <c r="H205" s="138"/>
      <c r="I205" s="138"/>
      <c r="J205" s="138"/>
      <c r="K205" s="138"/>
    </row>
    <row r="206" spans="2:11" ht="13.5" customHeight="1" outlineLevel="1">
      <c r="B206" s="134" t="s">
        <v>132</v>
      </c>
      <c r="C206" s="72"/>
      <c r="E206" s="135"/>
      <c r="F206" s="99"/>
      <c r="G206" s="99">
        <f t="shared" ref="G206:K206" si="94">AVERAGE(F174:G174)*365/(G190/G$3)</f>
        <v>110.29024581928962</v>
      </c>
      <c r="H206" s="99">
        <f t="shared" si="94"/>
        <v>110.29024581928961</v>
      </c>
      <c r="I206" s="99">
        <f t="shared" si="94"/>
        <v>110.29024581928961</v>
      </c>
      <c r="J206" s="99">
        <f t="shared" si="94"/>
        <v>110.29024581928962</v>
      </c>
      <c r="K206" s="99">
        <f t="shared" si="94"/>
        <v>110.29024581928961</v>
      </c>
    </row>
    <row r="207" spans="2:11" ht="13.5" customHeight="1" outlineLevel="1">
      <c r="B207" s="134" t="s">
        <v>131</v>
      </c>
      <c r="C207" s="72"/>
      <c r="E207" s="135"/>
      <c r="F207" s="99"/>
      <c r="G207" s="99">
        <f t="shared" ref="G207:K207" si="95">AVERAGE(F179:G179)*365/(G192/G$3)</f>
        <v>31.408137290752478</v>
      </c>
      <c r="H207" s="99">
        <f t="shared" si="95"/>
        <v>31.408137290752478</v>
      </c>
      <c r="I207" s="99">
        <f t="shared" si="95"/>
        <v>31.408137290752475</v>
      </c>
      <c r="J207" s="99">
        <f t="shared" si="95"/>
        <v>31.408137290752475</v>
      </c>
      <c r="K207" s="99">
        <f t="shared" si="95"/>
        <v>31.408137290752475</v>
      </c>
    </row>
    <row r="208" spans="2:11" ht="13.5" customHeight="1" outlineLevel="1">
      <c r="B208" s="134" t="s">
        <v>130</v>
      </c>
      <c r="C208" s="72"/>
      <c r="E208" s="135"/>
      <c r="F208" s="99"/>
      <c r="G208" s="99">
        <f t="shared" ref="G208:K208" si="96">AVERAGE(F175:G175)*365/(G191/G$3)</f>
        <v>0</v>
      </c>
      <c r="H208" s="99">
        <f t="shared" si="96"/>
        <v>0</v>
      </c>
      <c r="I208" s="99">
        <f t="shared" si="96"/>
        <v>0</v>
      </c>
      <c r="J208" s="99">
        <f t="shared" si="96"/>
        <v>0</v>
      </c>
      <c r="K208" s="99">
        <f t="shared" si="96"/>
        <v>0</v>
      </c>
    </row>
    <row r="209" spans="1:11" ht="13.5" customHeight="1" outlineLevel="1">
      <c r="B209" s="134" t="s">
        <v>133</v>
      </c>
      <c r="C209" s="72"/>
      <c r="E209" s="135"/>
      <c r="F209" s="99"/>
      <c r="G209" s="99" t="str">
        <f t="shared" ref="G209:K209" si="97">IFERROR((G191/G$3)/AVERAGE(F175:G175),"NA")</f>
        <v>NA</v>
      </c>
      <c r="H209" s="99" t="str">
        <f t="shared" si="97"/>
        <v>NA</v>
      </c>
      <c r="I209" s="99" t="str">
        <f t="shared" si="97"/>
        <v>NA</v>
      </c>
      <c r="J209" s="99" t="str">
        <f t="shared" si="97"/>
        <v>NA</v>
      </c>
      <c r="K209" s="99" t="str">
        <f t="shared" si="97"/>
        <v>NA</v>
      </c>
    </row>
    <row r="210" spans="1:11" ht="5.0999999999999996" customHeight="1" outlineLevel="1" thickBot="1">
      <c r="B210" s="127"/>
      <c r="C210" s="127"/>
      <c r="D210" s="127"/>
      <c r="E210" s="90"/>
      <c r="F210" s="90"/>
      <c r="G210" s="90"/>
      <c r="H210" s="90"/>
      <c r="I210" s="90"/>
      <c r="J210" s="90"/>
      <c r="K210" s="90"/>
    </row>
    <row r="211" spans="1:11" ht="13.5" customHeight="1" outlineLevel="1"/>
    <row r="212" spans="1:11" ht="13.5" customHeight="1" outlineLevel="1" thickBot="1"/>
    <row r="213" spans="1:11" ht="20.7" thickTop="1">
      <c r="A213" s="41" t="s">
        <v>286</v>
      </c>
      <c r="B213" s="42" t="s">
        <v>154</v>
      </c>
      <c r="C213" s="43"/>
      <c r="D213" s="44"/>
      <c r="E213" s="44"/>
      <c r="F213" s="44"/>
      <c r="G213" s="44"/>
      <c r="H213" s="44"/>
      <c r="I213" s="44"/>
      <c r="J213" s="44"/>
      <c r="K213" s="44"/>
    </row>
    <row r="214" spans="1:11" ht="5.0999999999999996" customHeight="1" outlineLevel="1">
      <c r="B214" s="45"/>
      <c r="C214" s="46"/>
    </row>
    <row r="215" spans="1:11" ht="13.5" customHeight="1" outlineLevel="1">
      <c r="B215" s="47"/>
      <c r="C215" s="47"/>
      <c r="D215" s="47"/>
      <c r="E215" s="48"/>
      <c r="F215" s="49" t="s">
        <v>285</v>
      </c>
      <c r="G215" s="50" t="s">
        <v>284</v>
      </c>
      <c r="H215" s="50"/>
      <c r="I215" s="50"/>
      <c r="J215" s="50"/>
      <c r="K215" s="50"/>
    </row>
    <row r="216" spans="1:11" ht="13.5" customHeight="1" outlineLevel="1" thickBot="1">
      <c r="B216" s="51" t="s">
        <v>9</v>
      </c>
      <c r="C216" s="52"/>
      <c r="D216" s="52"/>
      <c r="E216" s="53"/>
      <c r="F216" s="54">
        <f t="shared" ref="F216:K216" si="98">F$8</f>
        <v>44926</v>
      </c>
      <c r="G216" s="54">
        <f t="shared" si="98"/>
        <v>45291</v>
      </c>
      <c r="H216" s="54">
        <f t="shared" si="98"/>
        <v>45657</v>
      </c>
      <c r="I216" s="54">
        <f t="shared" si="98"/>
        <v>46022</v>
      </c>
      <c r="J216" s="54">
        <f t="shared" si="98"/>
        <v>46387</v>
      </c>
      <c r="K216" s="54">
        <f t="shared" si="98"/>
        <v>46752</v>
      </c>
    </row>
    <row r="217" spans="1:11" ht="5.0999999999999996" customHeight="1" outlineLevel="1">
      <c r="B217" s="55"/>
      <c r="C217" s="55"/>
      <c r="D217" s="55"/>
      <c r="E217" s="56"/>
      <c r="F217" s="56"/>
      <c r="G217" s="56"/>
      <c r="H217" s="56"/>
      <c r="I217" s="56"/>
      <c r="J217" s="56"/>
    </row>
    <row r="218" spans="1:11" ht="13.5" customHeight="1" outlineLevel="1">
      <c r="B218" s="72" t="s">
        <v>146</v>
      </c>
      <c r="C218" s="72"/>
      <c r="D218" s="72"/>
      <c r="E218" s="72"/>
      <c r="F218" s="77"/>
      <c r="G218" s="77">
        <f>F84</f>
        <v>157.10599999999999</v>
      </c>
      <c r="H218" s="77">
        <f ca="1">G84</f>
        <v>238.70093002388441</v>
      </c>
      <c r="I218" s="77">
        <f ca="1">H84</f>
        <v>313.89733752984267</v>
      </c>
      <c r="J218" s="77">
        <f ca="1">I84</f>
        <v>392.86646030864517</v>
      </c>
      <c r="K218" s="77">
        <f ca="1">J84</f>
        <v>461.86040237313324</v>
      </c>
    </row>
    <row r="219" spans="1:11" ht="13.5" customHeight="1" outlineLevel="1">
      <c r="B219" s="72" t="s">
        <v>145</v>
      </c>
      <c r="C219" s="72"/>
      <c r="D219" s="72"/>
      <c r="E219" s="72"/>
      <c r="F219" s="131"/>
      <c r="G219" s="205">
        <v>-100</v>
      </c>
      <c r="H219" s="131">
        <f t="shared" ref="H219:K219" si="99">G219</f>
        <v>-100</v>
      </c>
      <c r="I219" s="131">
        <f t="shared" si="99"/>
        <v>-100</v>
      </c>
      <c r="J219" s="131">
        <f t="shared" si="99"/>
        <v>-100</v>
      </c>
      <c r="K219" s="131">
        <f t="shared" si="99"/>
        <v>-100</v>
      </c>
    </row>
    <row r="220" spans="1:11" ht="13.5" customHeight="1" outlineLevel="1">
      <c r="B220" s="61" t="s">
        <v>147</v>
      </c>
      <c r="C220" s="61"/>
      <c r="D220" s="61"/>
      <c r="E220" s="61"/>
      <c r="F220" s="122"/>
      <c r="G220" s="122">
        <f t="shared" ref="G220:K220" si="100">SUM(G218:G219)</f>
        <v>57.105999999999995</v>
      </c>
      <c r="H220" s="122">
        <f t="shared" ca="1" si="100"/>
        <v>138.70093002388441</v>
      </c>
      <c r="I220" s="122">
        <f t="shared" ca="1" si="100"/>
        <v>213.89733752984267</v>
      </c>
      <c r="J220" s="122">
        <f t="shared" ca="1" si="100"/>
        <v>292.86646030864517</v>
      </c>
      <c r="K220" s="122">
        <f t="shared" ca="1" si="100"/>
        <v>361.86040237313324</v>
      </c>
    </row>
    <row r="221" spans="1:11" ht="13.5" customHeight="1" outlineLevel="1">
      <c r="B221" s="72" t="s">
        <v>148</v>
      </c>
      <c r="C221" s="72"/>
      <c r="D221" s="72"/>
      <c r="E221" s="72"/>
      <c r="F221" s="131"/>
      <c r="G221" s="131">
        <f ca="1">G147+G151+G159</f>
        <v>96.948330023884409</v>
      </c>
      <c r="H221" s="131">
        <f t="shared" ref="H221:K221" ca="1" si="101">H147+H151+H159</f>
        <v>75.549807505958242</v>
      </c>
      <c r="I221" s="131">
        <f t="shared" ca="1" si="101"/>
        <v>79.322522778802522</v>
      </c>
      <c r="J221" s="131">
        <f t="shared" ca="1" si="101"/>
        <v>69.347342064488046</v>
      </c>
      <c r="K221" s="131">
        <f t="shared" ca="1" si="101"/>
        <v>72.508487364963543</v>
      </c>
    </row>
    <row r="222" spans="1:11" ht="13.5" customHeight="1" outlineLevel="1">
      <c r="B222" s="61" t="s">
        <v>151</v>
      </c>
      <c r="C222" s="61"/>
      <c r="D222" s="61"/>
      <c r="E222" s="61"/>
      <c r="F222" s="122"/>
      <c r="G222" s="122">
        <f t="shared" ref="G222:K222" ca="1" si="102">SUM(G220:G221)</f>
        <v>154.0543300238844</v>
      </c>
      <c r="H222" s="122">
        <f t="shared" ca="1" si="102"/>
        <v>214.25073752984264</v>
      </c>
      <c r="I222" s="122">
        <f t="shared" ca="1" si="102"/>
        <v>293.2198603086452</v>
      </c>
      <c r="J222" s="122">
        <f t="shared" ca="1" si="102"/>
        <v>362.21380237313321</v>
      </c>
      <c r="K222" s="122">
        <f t="shared" ca="1" si="102"/>
        <v>434.36888973809675</v>
      </c>
    </row>
    <row r="223" spans="1:11" ht="13.5" customHeight="1" outlineLevel="1">
      <c r="B223" s="95" t="str">
        <f>B320</f>
        <v>Senior credit facility</v>
      </c>
      <c r="C223" s="119"/>
      <c r="D223" s="119"/>
      <c r="F223" s="131"/>
      <c r="G223" s="131">
        <f>G248</f>
        <v>0</v>
      </c>
      <c r="H223" s="131">
        <f t="shared" ref="H223:K223" ca="1" si="103">H248</f>
        <v>0</v>
      </c>
      <c r="I223" s="131">
        <f t="shared" ca="1" si="103"/>
        <v>0</v>
      </c>
      <c r="J223" s="131">
        <f t="shared" ca="1" si="103"/>
        <v>0</v>
      </c>
      <c r="K223" s="131">
        <f t="shared" ca="1" si="103"/>
        <v>0</v>
      </c>
    </row>
    <row r="224" spans="1:11" ht="13.5" customHeight="1" outlineLevel="1">
      <c r="B224" s="95" t="str">
        <f t="shared" ref="B224:B225" si="104">B321</f>
        <v>Subordinated note</v>
      </c>
      <c r="C224" s="119"/>
      <c r="D224" s="119"/>
      <c r="F224" s="131"/>
      <c r="G224" s="131">
        <f>G254</f>
        <v>0</v>
      </c>
      <c r="H224" s="131">
        <f t="shared" ref="H224:K224" ca="1" si="105">H254</f>
        <v>0</v>
      </c>
      <c r="I224" s="131">
        <f t="shared" ca="1" si="105"/>
        <v>0</v>
      </c>
      <c r="J224" s="131">
        <f t="shared" ca="1" si="105"/>
        <v>0</v>
      </c>
      <c r="K224" s="131">
        <f t="shared" ca="1" si="105"/>
        <v>0</v>
      </c>
    </row>
    <row r="225" spans="2:11" ht="13.5" customHeight="1" outlineLevel="1">
      <c r="B225" s="95" t="str">
        <f t="shared" si="104"/>
        <v>Convertible bond</v>
      </c>
      <c r="C225" s="119"/>
      <c r="D225" s="119"/>
      <c r="F225" s="131"/>
      <c r="G225" s="131">
        <f>G261</f>
        <v>0</v>
      </c>
      <c r="H225" s="131">
        <f t="shared" ref="H225:K225" si="106">H261</f>
        <v>0</v>
      </c>
      <c r="I225" s="131">
        <f t="shared" si="106"/>
        <v>0</v>
      </c>
      <c r="J225" s="131">
        <f t="shared" si="106"/>
        <v>0</v>
      </c>
      <c r="K225" s="131">
        <f t="shared" si="106"/>
        <v>0</v>
      </c>
    </row>
    <row r="226" spans="2:11" ht="13.5" customHeight="1" outlineLevel="1">
      <c r="B226" s="61" t="s">
        <v>149</v>
      </c>
      <c r="C226" s="61"/>
      <c r="D226" s="61"/>
      <c r="E226" s="61"/>
      <c r="F226" s="122"/>
      <c r="G226" s="122">
        <f ca="1">SUM(G223:OFFSET(G226,-1,0))</f>
        <v>0</v>
      </c>
      <c r="H226" s="122">
        <f ca="1">SUM(H223:OFFSET(H226,-1,0))</f>
        <v>0</v>
      </c>
      <c r="I226" s="122">
        <f ca="1">SUM(I223:OFFSET(I226,-1,0))</f>
        <v>0</v>
      </c>
      <c r="J226" s="122">
        <f ca="1">SUM(J223:OFFSET(J226,-1,0))</f>
        <v>0</v>
      </c>
      <c r="K226" s="122">
        <f ca="1">SUM(K223:OFFSET(K226,-1,0))</f>
        <v>0</v>
      </c>
    </row>
    <row r="227" spans="2:11" ht="13.5" customHeight="1" outlineLevel="1">
      <c r="B227" s="125" t="s">
        <v>150</v>
      </c>
      <c r="C227" s="125"/>
      <c r="D227" s="125"/>
      <c r="E227" s="125"/>
      <c r="F227" s="126"/>
      <c r="G227" s="126">
        <f t="shared" ref="G227:K227" ca="1" si="107">G222+G226</f>
        <v>154.0543300238844</v>
      </c>
      <c r="H227" s="126">
        <f t="shared" ca="1" si="107"/>
        <v>214.25073752984264</v>
      </c>
      <c r="I227" s="126">
        <f t="shared" ca="1" si="107"/>
        <v>293.2198603086452</v>
      </c>
      <c r="J227" s="126">
        <f t="shared" ca="1" si="107"/>
        <v>362.21380237313321</v>
      </c>
      <c r="K227" s="126">
        <f t="shared" ca="1" si="107"/>
        <v>434.36888973809675</v>
      </c>
    </row>
    <row r="228" spans="2:11" ht="13.5" customHeight="1" outlineLevel="1">
      <c r="B228" s="55"/>
      <c r="C228" s="55"/>
      <c r="D228" s="55"/>
      <c r="E228" s="56"/>
      <c r="F228" s="56"/>
      <c r="G228" s="56"/>
      <c r="H228" s="56"/>
      <c r="I228" s="56"/>
      <c r="J228" s="56"/>
    </row>
    <row r="229" spans="2:11" ht="13.5" customHeight="1" outlineLevel="1">
      <c r="B229" s="67" t="s">
        <v>155</v>
      </c>
      <c r="C229" s="72"/>
      <c r="D229" s="72"/>
      <c r="E229" s="72"/>
      <c r="F229" s="120"/>
      <c r="G229" s="121"/>
      <c r="H229" s="121"/>
      <c r="I229" s="56"/>
      <c r="J229" s="56"/>
    </row>
    <row r="230" spans="2:11" ht="13.5" customHeight="1" outlineLevel="1">
      <c r="B230" s="72" t="str">
        <f>B319</f>
        <v>Revolver</v>
      </c>
      <c r="C230" s="72"/>
      <c r="D230" s="72"/>
      <c r="E230" s="72"/>
      <c r="F230" s="77"/>
      <c r="G230" s="77">
        <f ca="1">-MAX(0,MIN(G238,SUM(G$227:G229),$F241*$K319))</f>
        <v>-15</v>
      </c>
      <c r="H230" s="77">
        <f ca="1">-MAX(0,MIN(H238,SUM(H$227:H229),$F241*$K319))</f>
        <v>0</v>
      </c>
      <c r="I230" s="77">
        <f ca="1">-MAX(0,MIN(I238,SUM(I$227:I229),$F241*$K319))</f>
        <v>0</v>
      </c>
      <c r="J230" s="77">
        <f ca="1">-MAX(0,MIN(J238,SUM(J$227:J229),$F241*$K319))</f>
        <v>0</v>
      </c>
      <c r="K230" s="77">
        <f ca="1">-MAX(0,MIN(K238,SUM(K$227:K229),$F241*$K319))</f>
        <v>0</v>
      </c>
    </row>
    <row r="231" spans="2:11" ht="13.5" customHeight="1" outlineLevel="1">
      <c r="B231" s="72" t="str">
        <f t="shared" ref="B231:B232" si="108">B320</f>
        <v>Senior credit facility</v>
      </c>
      <c r="C231" s="72"/>
      <c r="D231" s="72"/>
      <c r="E231" s="72"/>
      <c r="F231" s="121"/>
      <c r="G231" s="121">
        <f ca="1">-MAX(0,MIN(SUM(G247:G248),SUM(G$227:G230),$F250*$K320))</f>
        <v>0</v>
      </c>
      <c r="H231" s="121">
        <f ca="1">-MAX(0,MIN(SUM(H247:H248),SUM(H$227:H230),$F250*$K320))</f>
        <v>0</v>
      </c>
      <c r="I231" s="121">
        <f ca="1">-MAX(0,MIN(SUM(I247:I248),SUM(I$227:I230),$F250*$K320))</f>
        <v>0</v>
      </c>
      <c r="J231" s="121">
        <f ca="1">-MAX(0,MIN(SUM(J247:J248),SUM(J$227:J230),$F250*$K320))</f>
        <v>0</v>
      </c>
      <c r="K231" s="121">
        <f ca="1">-MAX(0,MIN(SUM(K247:K248),SUM(K$227:K230),$F250*$K320))</f>
        <v>0</v>
      </c>
    </row>
    <row r="232" spans="2:11" ht="13.5" customHeight="1" outlineLevel="1">
      <c r="B232" s="72" t="str">
        <f t="shared" si="108"/>
        <v>Subordinated note</v>
      </c>
      <c r="C232" s="72"/>
      <c r="D232" s="72"/>
      <c r="E232" s="72"/>
      <c r="F232" s="121"/>
      <c r="G232" s="121">
        <f ca="1">-MAX(0,MIN(SUM(G253:G254),SUM(G$227:G231),$F256*$K321))</f>
        <v>0</v>
      </c>
      <c r="H232" s="121">
        <f ca="1">-MAX(0,MIN(SUM(H253:H254),SUM(H$227:H231),$F256*$K321))</f>
        <v>0</v>
      </c>
      <c r="I232" s="121">
        <f ca="1">-MAX(0,MIN(SUM(I253:I254),SUM(I$227:I231),$F256*$K321))</f>
        <v>0</v>
      </c>
      <c r="J232" s="121">
        <f ca="1">-MAX(0,MIN(SUM(J253:J254),SUM(J$227:J231),$F256*$K321))</f>
        <v>0</v>
      </c>
      <c r="K232" s="121">
        <f ca="1">-MAX(0,MIN(SUM(K253:K254),SUM(K$227:K231),$F256*$K321))</f>
        <v>0</v>
      </c>
    </row>
    <row r="233" spans="2:11" ht="13.5" customHeight="1" outlineLevel="1">
      <c r="B233" s="61" t="s">
        <v>153</v>
      </c>
      <c r="C233" s="61"/>
      <c r="D233" s="61"/>
      <c r="E233" s="61"/>
      <c r="F233" s="140"/>
      <c r="G233" s="140">
        <f ca="1">SUM(G230:OFFSET(G233,-1,0))</f>
        <v>-15</v>
      </c>
      <c r="H233" s="140">
        <f ca="1">SUM(H230:OFFSET(H233,-1,0))</f>
        <v>0</v>
      </c>
      <c r="I233" s="140">
        <f ca="1">SUM(I230:OFFSET(I233,-1,0))</f>
        <v>0</v>
      </c>
      <c r="J233" s="140">
        <f ca="1">SUM(J230:OFFSET(J233,-1,0))</f>
        <v>0</v>
      </c>
      <c r="K233" s="140">
        <f ca="1">SUM(K230:OFFSET(K233,-1,0))</f>
        <v>0</v>
      </c>
    </row>
    <row r="234" spans="2:11" ht="13.5" customHeight="1" outlineLevel="1">
      <c r="B234" s="55"/>
      <c r="C234" s="55"/>
      <c r="D234" s="55"/>
      <c r="E234" s="56"/>
      <c r="F234" s="56"/>
      <c r="G234" s="56"/>
      <c r="H234" s="56"/>
      <c r="I234" s="56"/>
      <c r="J234" s="56"/>
    </row>
    <row r="235" spans="2:11" ht="13.5" customHeight="1" outlineLevel="1">
      <c r="B235" s="82" t="s">
        <v>154</v>
      </c>
      <c r="C235" s="83"/>
      <c r="D235" s="84"/>
      <c r="E235" s="84"/>
      <c r="F235" s="84"/>
      <c r="G235" s="84"/>
      <c r="H235" s="84"/>
      <c r="I235" s="84"/>
      <c r="J235" s="84"/>
      <c r="K235" s="85"/>
    </row>
    <row r="236" spans="2:11" ht="13.5" customHeight="1" outlineLevel="1"/>
    <row r="237" spans="2:11" ht="13.5" customHeight="1" outlineLevel="1">
      <c r="B237" s="141" t="str">
        <f>B319</f>
        <v>Revolver</v>
      </c>
      <c r="C237" s="142"/>
      <c r="D237" s="142"/>
      <c r="E237" s="143"/>
      <c r="F237" s="143"/>
      <c r="G237" s="144"/>
      <c r="H237" s="144"/>
      <c r="I237" s="144"/>
      <c r="J237" s="144"/>
      <c r="K237" s="144"/>
    </row>
    <row r="238" spans="2:11" ht="13.5" customHeight="1" outlineLevel="1">
      <c r="B238" s="134" t="s">
        <v>135</v>
      </c>
      <c r="C238" s="119"/>
      <c r="D238" s="119"/>
      <c r="F238" s="129"/>
      <c r="G238" s="129">
        <f t="shared" ref="G238:K238" si="109">F241</f>
        <v>15</v>
      </c>
      <c r="H238" s="129">
        <f t="shared" ca="1" si="109"/>
        <v>0</v>
      </c>
      <c r="I238" s="129">
        <f t="shared" ca="1" si="109"/>
        <v>0</v>
      </c>
      <c r="J238" s="129">
        <f t="shared" ca="1" si="109"/>
        <v>0</v>
      </c>
      <c r="K238" s="129">
        <f t="shared" ca="1" si="109"/>
        <v>0</v>
      </c>
    </row>
    <row r="239" spans="2:11" ht="13.5" customHeight="1" outlineLevel="1">
      <c r="B239" s="134" t="s">
        <v>136</v>
      </c>
      <c r="C239" s="119"/>
      <c r="D239" s="119"/>
      <c r="F239" s="131"/>
      <c r="G239" s="131">
        <f ca="1">MIN(MAX(0,-G227),G243-G238)</f>
        <v>0</v>
      </c>
      <c r="H239" s="131">
        <f t="shared" ref="H239:K239" ca="1" si="110">MIN(MAX(0,-H227),H243-H238)</f>
        <v>0</v>
      </c>
      <c r="I239" s="131">
        <f t="shared" ca="1" si="110"/>
        <v>0</v>
      </c>
      <c r="J239" s="131">
        <f t="shared" ca="1" si="110"/>
        <v>0</v>
      </c>
      <c r="K239" s="131">
        <f t="shared" ca="1" si="110"/>
        <v>0</v>
      </c>
    </row>
    <row r="240" spans="2:11" ht="13.5" customHeight="1" outlineLevel="1">
      <c r="B240" s="134" t="s">
        <v>137</v>
      </c>
      <c r="C240" s="119"/>
      <c r="D240" s="119"/>
      <c r="F240" s="131"/>
      <c r="G240" s="131">
        <f ca="1">G230</f>
        <v>-15</v>
      </c>
      <c r="H240" s="131">
        <f t="shared" ref="H240:K240" ca="1" si="111">H230</f>
        <v>0</v>
      </c>
      <c r="I240" s="131">
        <f t="shared" ca="1" si="111"/>
        <v>0</v>
      </c>
      <c r="J240" s="131">
        <f t="shared" ca="1" si="111"/>
        <v>0</v>
      </c>
      <c r="K240" s="131">
        <f t="shared" ca="1" si="111"/>
        <v>0</v>
      </c>
    </row>
    <row r="241" spans="2:11" ht="13.5" customHeight="1" outlineLevel="1">
      <c r="B241" s="61" t="s">
        <v>138</v>
      </c>
      <c r="C241" s="61"/>
      <c r="D241" s="61"/>
      <c r="E241" s="61"/>
      <c r="F241" s="145">
        <f>F109</f>
        <v>15</v>
      </c>
      <c r="G241" s="140">
        <f t="shared" ref="G241:K241" ca="1" si="112">SUM(G238:G240)</f>
        <v>0</v>
      </c>
      <c r="H241" s="140">
        <f t="shared" ca="1" si="112"/>
        <v>0</v>
      </c>
      <c r="I241" s="140">
        <f t="shared" ca="1" si="112"/>
        <v>0</v>
      </c>
      <c r="J241" s="140">
        <f t="shared" ca="1" si="112"/>
        <v>0</v>
      </c>
      <c r="K241" s="140">
        <f t="shared" ca="1" si="112"/>
        <v>0</v>
      </c>
    </row>
    <row r="242" spans="2:11" ht="13.5" customHeight="1" outlineLevel="1">
      <c r="B242" s="72"/>
      <c r="C242" s="72"/>
      <c r="D242" s="72"/>
      <c r="E242" s="72"/>
      <c r="F242" s="120"/>
      <c r="G242" s="121"/>
    </row>
    <row r="243" spans="2:11" ht="13.5" customHeight="1" outlineLevel="1">
      <c r="B243" s="72" t="s">
        <v>292</v>
      </c>
      <c r="C243" s="72"/>
      <c r="D243" s="72"/>
      <c r="E243" s="72"/>
      <c r="F243" s="208">
        <v>100</v>
      </c>
      <c r="G243" s="77">
        <f>F243</f>
        <v>100</v>
      </c>
      <c r="H243" s="77">
        <f t="shared" ref="H243:K243" si="113">G243</f>
        <v>100</v>
      </c>
      <c r="I243" s="77">
        <f t="shared" si="113"/>
        <v>100</v>
      </c>
      <c r="J243" s="77">
        <f t="shared" si="113"/>
        <v>100</v>
      </c>
      <c r="K243" s="77">
        <f t="shared" si="113"/>
        <v>100</v>
      </c>
    </row>
    <row r="244" spans="2:11" ht="13.5" customHeight="1" outlineLevel="1">
      <c r="B244" s="97" t="s">
        <v>160</v>
      </c>
      <c r="C244" s="146"/>
      <c r="D244" s="146"/>
      <c r="E244" s="146"/>
      <c r="F244" s="94">
        <f>F243-F241</f>
        <v>85</v>
      </c>
      <c r="G244" s="94">
        <f t="shared" ref="G244:K244" ca="1" si="114">G243-G241</f>
        <v>100</v>
      </c>
      <c r="H244" s="94">
        <f t="shared" ca="1" si="114"/>
        <v>100</v>
      </c>
      <c r="I244" s="94">
        <f t="shared" ca="1" si="114"/>
        <v>100</v>
      </c>
      <c r="J244" s="94">
        <f t="shared" ca="1" si="114"/>
        <v>100</v>
      </c>
      <c r="K244" s="94">
        <f t="shared" ca="1" si="114"/>
        <v>100</v>
      </c>
    </row>
    <row r="245" spans="2:11" ht="13.5" customHeight="1" outlineLevel="1"/>
    <row r="246" spans="2:11" ht="13.5" customHeight="1" outlineLevel="1">
      <c r="B246" s="141" t="str">
        <f>B320</f>
        <v>Senior credit facility</v>
      </c>
      <c r="C246" s="142"/>
      <c r="D246" s="142"/>
      <c r="E246" s="143"/>
      <c r="F246" s="143"/>
      <c r="G246" s="147"/>
      <c r="H246" s="147"/>
      <c r="I246" s="148"/>
      <c r="J246" s="148"/>
      <c r="K246" s="148"/>
    </row>
    <row r="247" spans="2:11" ht="13.5" customHeight="1" outlineLevel="1">
      <c r="B247" s="134" t="s">
        <v>135</v>
      </c>
      <c r="C247" s="119"/>
      <c r="D247" s="119"/>
      <c r="F247" s="129"/>
      <c r="G247" s="93">
        <f t="shared" ref="G247:K247" si="115">F250</f>
        <v>0</v>
      </c>
      <c r="H247" s="93">
        <f t="shared" ca="1" si="115"/>
        <v>0</v>
      </c>
      <c r="I247" s="93">
        <f t="shared" ca="1" si="115"/>
        <v>0</v>
      </c>
      <c r="J247" s="93">
        <f t="shared" ca="1" si="115"/>
        <v>0</v>
      </c>
      <c r="K247" s="93">
        <f t="shared" ca="1" si="115"/>
        <v>0</v>
      </c>
    </row>
    <row r="248" spans="2:11" ht="13.5" customHeight="1" outlineLevel="1">
      <c r="B248" s="134" t="s">
        <v>140</v>
      </c>
      <c r="C248" s="119"/>
      <c r="D248" s="119"/>
      <c r="F248" s="60"/>
      <c r="G248" s="94">
        <f>-MIN($F250*G272,G247)</f>
        <v>0</v>
      </c>
      <c r="H248" s="94">
        <f ca="1">-MIN($F250*H272,H247)</f>
        <v>0</v>
      </c>
      <c r="I248" s="94">
        <f ca="1">-MIN($F250*I272,I247)</f>
        <v>0</v>
      </c>
      <c r="J248" s="94">
        <f ca="1">-MIN($F250*J272,J247)</f>
        <v>0</v>
      </c>
      <c r="K248" s="94">
        <f ca="1">-MIN($F250*K272,K247)</f>
        <v>0</v>
      </c>
    </row>
    <row r="249" spans="2:11" ht="13.5" customHeight="1" outlineLevel="1">
      <c r="B249" s="134" t="s">
        <v>141</v>
      </c>
      <c r="C249" s="119"/>
      <c r="D249" s="119"/>
      <c r="F249" s="131"/>
      <c r="G249" s="131">
        <f ca="1">G231</f>
        <v>0</v>
      </c>
      <c r="H249" s="131">
        <f t="shared" ref="H249:K249" ca="1" si="116">H231</f>
        <v>0</v>
      </c>
      <c r="I249" s="131">
        <f t="shared" ca="1" si="116"/>
        <v>0</v>
      </c>
      <c r="J249" s="131">
        <f t="shared" ca="1" si="116"/>
        <v>0</v>
      </c>
      <c r="K249" s="131">
        <f t="shared" ca="1" si="116"/>
        <v>0</v>
      </c>
    </row>
    <row r="250" spans="2:11" ht="13.5" customHeight="1" outlineLevel="1">
      <c r="B250" s="61" t="s">
        <v>138</v>
      </c>
      <c r="C250" s="61"/>
      <c r="D250" s="61"/>
      <c r="E250" s="61"/>
      <c r="F250" s="145">
        <f>F110</f>
        <v>0</v>
      </c>
      <c r="G250" s="149">
        <f t="shared" ref="G250:K250" ca="1" si="117">SUM(G247:G249)</f>
        <v>0</v>
      </c>
      <c r="H250" s="149">
        <f t="shared" ca="1" si="117"/>
        <v>0</v>
      </c>
      <c r="I250" s="149">
        <f t="shared" ca="1" si="117"/>
        <v>0</v>
      </c>
      <c r="J250" s="149">
        <f t="shared" ca="1" si="117"/>
        <v>0</v>
      </c>
      <c r="K250" s="149">
        <f t="shared" ca="1" si="117"/>
        <v>0</v>
      </c>
    </row>
    <row r="251" spans="2:11" ht="13.5" customHeight="1" outlineLevel="1"/>
    <row r="252" spans="2:11" ht="13.5" customHeight="1" outlineLevel="1">
      <c r="B252" s="141" t="str">
        <f>B321</f>
        <v>Subordinated note</v>
      </c>
      <c r="C252" s="142"/>
      <c r="D252" s="142"/>
      <c r="E252" s="143"/>
      <c r="F252" s="143"/>
      <c r="G252" s="147"/>
      <c r="H252" s="147"/>
      <c r="I252" s="148"/>
      <c r="J252" s="148"/>
      <c r="K252" s="148"/>
    </row>
    <row r="253" spans="2:11" ht="13.5" customHeight="1" outlineLevel="1">
      <c r="B253" s="134" t="s">
        <v>135</v>
      </c>
      <c r="C253" s="119"/>
      <c r="D253" s="119"/>
      <c r="F253" s="129"/>
      <c r="G253" s="93">
        <f t="shared" ref="G253:K253" si="118">F256</f>
        <v>45.5</v>
      </c>
      <c r="H253" s="93">
        <f t="shared" ca="1" si="118"/>
        <v>45.5</v>
      </c>
      <c r="I253" s="93">
        <f t="shared" ca="1" si="118"/>
        <v>45.5</v>
      </c>
      <c r="J253" s="93">
        <f t="shared" ca="1" si="118"/>
        <v>45.5</v>
      </c>
      <c r="K253" s="93">
        <f t="shared" ca="1" si="118"/>
        <v>45.5</v>
      </c>
    </row>
    <row r="254" spans="2:11" ht="13.5" customHeight="1" outlineLevel="1">
      <c r="B254" s="134" t="s">
        <v>142</v>
      </c>
      <c r="C254" s="119"/>
      <c r="D254" s="119"/>
      <c r="F254" s="60"/>
      <c r="G254" s="94">
        <f>-MIN($F256*G273,G253)</f>
        <v>0</v>
      </c>
      <c r="H254" s="94">
        <f ca="1">-MIN($F256*H273,H253)</f>
        <v>0</v>
      </c>
      <c r="I254" s="94">
        <f ca="1">-MIN($F256*I273,I253)</f>
        <v>0</v>
      </c>
      <c r="J254" s="94">
        <f ca="1">-MIN($F256*J273,J253)</f>
        <v>0</v>
      </c>
      <c r="K254" s="94">
        <f ca="1">-MIN($F256*K273,K253)</f>
        <v>0</v>
      </c>
    </row>
    <row r="255" spans="2:11" ht="13.5" customHeight="1" outlineLevel="1">
      <c r="B255" s="134" t="s">
        <v>141</v>
      </c>
      <c r="C255" s="119"/>
      <c r="D255" s="119"/>
      <c r="F255" s="131"/>
      <c r="G255" s="131">
        <f ca="1">G232</f>
        <v>0</v>
      </c>
      <c r="H255" s="131">
        <f t="shared" ref="H255:K255" ca="1" si="119">H232</f>
        <v>0</v>
      </c>
      <c r="I255" s="131">
        <f t="shared" ca="1" si="119"/>
        <v>0</v>
      </c>
      <c r="J255" s="131">
        <f t="shared" ca="1" si="119"/>
        <v>0</v>
      </c>
      <c r="K255" s="131">
        <f t="shared" ca="1" si="119"/>
        <v>0</v>
      </c>
    </row>
    <row r="256" spans="2:11" ht="13.5" customHeight="1" outlineLevel="1">
      <c r="B256" s="61" t="s">
        <v>138</v>
      </c>
      <c r="C256" s="61"/>
      <c r="D256" s="61"/>
      <c r="E256" s="61"/>
      <c r="F256" s="145">
        <f>F111</f>
        <v>45.5</v>
      </c>
      <c r="G256" s="149">
        <f t="shared" ref="G256:K256" ca="1" si="120">SUM(G253:G255)</f>
        <v>45.5</v>
      </c>
      <c r="H256" s="149">
        <f t="shared" ca="1" si="120"/>
        <v>45.5</v>
      </c>
      <c r="I256" s="149">
        <f t="shared" ca="1" si="120"/>
        <v>45.5</v>
      </c>
      <c r="J256" s="149">
        <f t="shared" ca="1" si="120"/>
        <v>45.5</v>
      </c>
      <c r="K256" s="149">
        <f t="shared" ca="1" si="120"/>
        <v>45.5</v>
      </c>
    </row>
    <row r="257" spans="2:11" ht="13.5" customHeight="1" outlineLevel="1"/>
    <row r="258" spans="2:11" ht="13.5" customHeight="1" outlineLevel="1">
      <c r="B258" s="141" t="str">
        <f>B322</f>
        <v>Convertible bond</v>
      </c>
      <c r="C258" s="142"/>
      <c r="D258" s="142"/>
      <c r="E258" s="143"/>
      <c r="F258" s="143"/>
      <c r="G258" s="147"/>
      <c r="H258" s="147"/>
      <c r="I258" s="148"/>
      <c r="J258" s="148"/>
      <c r="K258" s="148"/>
    </row>
    <row r="259" spans="2:11" ht="13.5" customHeight="1" outlineLevel="1">
      <c r="B259" s="134" t="s">
        <v>135</v>
      </c>
      <c r="C259" s="119"/>
      <c r="D259" s="119"/>
      <c r="F259" s="129"/>
      <c r="G259" s="93">
        <f t="shared" ref="G259:K259" si="121">F262</f>
        <v>190</v>
      </c>
      <c r="H259" s="93">
        <f t="shared" si="121"/>
        <v>199.02500000000001</v>
      </c>
      <c r="I259" s="93">
        <f t="shared" si="121"/>
        <v>208.47868750000001</v>
      </c>
      <c r="J259" s="93">
        <f t="shared" si="121"/>
        <v>218.38142515625</v>
      </c>
      <c r="K259" s="93">
        <f t="shared" si="121"/>
        <v>218.38142515625</v>
      </c>
    </row>
    <row r="260" spans="2:11" ht="13.5" customHeight="1" outlineLevel="1">
      <c r="B260" s="134" t="s">
        <v>143</v>
      </c>
      <c r="C260" s="119"/>
      <c r="D260" s="119"/>
      <c r="F260" s="60"/>
      <c r="G260" s="131">
        <f>G294*G309</f>
        <v>9.0250000000000004</v>
      </c>
      <c r="H260" s="131">
        <f t="shared" ref="H260:K260" si="122">H294*H309</f>
        <v>9.4536875000000009</v>
      </c>
      <c r="I260" s="131">
        <f t="shared" si="122"/>
        <v>9.9027376562500002</v>
      </c>
      <c r="J260" s="131">
        <f t="shared" si="122"/>
        <v>0</v>
      </c>
      <c r="K260" s="131">
        <f t="shared" si="122"/>
        <v>0</v>
      </c>
    </row>
    <row r="261" spans="2:11" ht="13.5" customHeight="1" outlineLevel="1">
      <c r="B261" s="134" t="s">
        <v>142</v>
      </c>
      <c r="C261" s="119"/>
      <c r="D261" s="119"/>
      <c r="F261" s="131"/>
      <c r="G261" s="212">
        <v>0</v>
      </c>
      <c r="H261" s="212">
        <v>0</v>
      </c>
      <c r="I261" s="212">
        <v>0</v>
      </c>
      <c r="J261" s="212">
        <v>0</v>
      </c>
      <c r="K261" s="212">
        <v>0</v>
      </c>
    </row>
    <row r="262" spans="2:11" ht="13.5" customHeight="1" outlineLevel="1">
      <c r="B262" s="61" t="s">
        <v>138</v>
      </c>
      <c r="C262" s="61"/>
      <c r="D262" s="61"/>
      <c r="E262" s="61"/>
      <c r="F262" s="145">
        <f>F112</f>
        <v>190</v>
      </c>
      <c r="G262" s="149">
        <f t="shared" ref="G262:K262" si="123">SUM(G259:G261)</f>
        <v>199.02500000000001</v>
      </c>
      <c r="H262" s="149">
        <f t="shared" si="123"/>
        <v>208.47868750000001</v>
      </c>
      <c r="I262" s="149">
        <f t="shared" si="123"/>
        <v>218.38142515625</v>
      </c>
      <c r="J262" s="149">
        <f t="shared" si="123"/>
        <v>218.38142515625</v>
      </c>
      <c r="K262" s="149">
        <f t="shared" si="123"/>
        <v>218.38142515625</v>
      </c>
    </row>
    <row r="263" spans="2:11" ht="13.5" customHeight="1" outlineLevel="1"/>
    <row r="264" spans="2:11" ht="13.5" customHeight="1" outlineLevel="1">
      <c r="B264" s="141" t="str">
        <f>B323</f>
        <v>Preferred stock</v>
      </c>
      <c r="C264" s="142"/>
      <c r="D264" s="142"/>
      <c r="E264" s="143"/>
      <c r="F264" s="143"/>
      <c r="G264" s="147"/>
      <c r="H264" s="147"/>
      <c r="I264" s="148"/>
      <c r="J264" s="148"/>
      <c r="K264" s="148"/>
    </row>
    <row r="265" spans="2:11" ht="13.5" customHeight="1" outlineLevel="1">
      <c r="B265" s="134" t="s">
        <v>135</v>
      </c>
      <c r="C265" s="119"/>
      <c r="D265" s="119"/>
      <c r="F265" s="129"/>
      <c r="G265" s="93">
        <f t="shared" ref="G265:K265" si="124">F268</f>
        <v>0</v>
      </c>
      <c r="H265" s="93">
        <f t="shared" si="124"/>
        <v>0</v>
      </c>
      <c r="I265" s="93">
        <f t="shared" si="124"/>
        <v>0</v>
      </c>
      <c r="J265" s="93">
        <f t="shared" si="124"/>
        <v>0</v>
      </c>
      <c r="K265" s="93">
        <f t="shared" si="124"/>
        <v>0</v>
      </c>
    </row>
    <row r="266" spans="2:11" ht="13.5" customHeight="1" outlineLevel="1">
      <c r="B266" s="134" t="s">
        <v>143</v>
      </c>
      <c r="C266" s="119"/>
      <c r="D266" s="119"/>
      <c r="F266" s="60"/>
      <c r="G266" s="131">
        <f>G295*G310</f>
        <v>0</v>
      </c>
      <c r="H266" s="131">
        <f t="shared" ref="H266:K266" si="125">H295*H310</f>
        <v>0</v>
      </c>
      <c r="I266" s="131">
        <f t="shared" si="125"/>
        <v>0</v>
      </c>
      <c r="J266" s="131">
        <f t="shared" si="125"/>
        <v>0</v>
      </c>
      <c r="K266" s="131">
        <f t="shared" si="125"/>
        <v>0</v>
      </c>
    </row>
    <row r="267" spans="2:11" ht="13.5" customHeight="1" outlineLevel="1">
      <c r="B267" s="134" t="s">
        <v>144</v>
      </c>
      <c r="C267" s="119"/>
      <c r="D267" s="119"/>
      <c r="F267" s="131"/>
      <c r="G267" s="212">
        <v>0</v>
      </c>
      <c r="H267" s="212">
        <v>0</v>
      </c>
      <c r="I267" s="212">
        <v>0</v>
      </c>
      <c r="J267" s="212">
        <v>0</v>
      </c>
      <c r="K267" s="212">
        <v>0</v>
      </c>
    </row>
    <row r="268" spans="2:11" ht="13.5" customHeight="1" outlineLevel="1">
      <c r="B268" s="61" t="s">
        <v>138</v>
      </c>
      <c r="C268" s="61"/>
      <c r="D268" s="61"/>
      <c r="E268" s="61"/>
      <c r="F268" s="145">
        <f>F118</f>
        <v>0</v>
      </c>
      <c r="G268" s="149">
        <f t="shared" ref="G268:K268" si="126">SUM(G265:G267)</f>
        <v>0</v>
      </c>
      <c r="H268" s="149">
        <f t="shared" si="126"/>
        <v>0</v>
      </c>
      <c r="I268" s="149">
        <f t="shared" si="126"/>
        <v>0</v>
      </c>
      <c r="J268" s="149">
        <f t="shared" si="126"/>
        <v>0</v>
      </c>
      <c r="K268" s="149">
        <f t="shared" si="126"/>
        <v>0</v>
      </c>
    </row>
    <row r="269" spans="2:11" ht="13.5" customHeight="1" outlineLevel="1"/>
    <row r="270" spans="2:11" ht="13.5" customHeight="1" outlineLevel="1">
      <c r="B270" s="82" t="s">
        <v>243</v>
      </c>
      <c r="C270" s="83"/>
      <c r="D270" s="84"/>
      <c r="E270" s="84"/>
      <c r="F270" s="84"/>
      <c r="G270" s="84"/>
      <c r="H270" s="84"/>
      <c r="I270" s="84"/>
      <c r="J270" s="84"/>
      <c r="K270" s="85"/>
    </row>
    <row r="271" spans="2:11" ht="13.5" customHeight="1" outlineLevel="1"/>
    <row r="272" spans="2:11" ht="13.5" customHeight="1" outlineLevel="1">
      <c r="B272" s="34" t="str">
        <f>B320</f>
        <v>Senior credit facility</v>
      </c>
      <c r="G272" s="214">
        <v>0</v>
      </c>
      <c r="H272" s="214">
        <v>0</v>
      </c>
      <c r="I272" s="214">
        <v>0</v>
      </c>
      <c r="J272" s="214">
        <v>0</v>
      </c>
      <c r="K272" s="214">
        <v>0</v>
      </c>
    </row>
    <row r="273" spans="2:11" ht="13.5" customHeight="1" outlineLevel="1">
      <c r="B273" s="34" t="str">
        <f>B321</f>
        <v>Subordinated note</v>
      </c>
      <c r="G273" s="214">
        <v>0</v>
      </c>
      <c r="H273" s="214">
        <v>0</v>
      </c>
      <c r="I273" s="214">
        <v>0</v>
      </c>
      <c r="J273" s="214">
        <v>0</v>
      </c>
      <c r="K273" s="214">
        <v>0</v>
      </c>
    </row>
    <row r="274" spans="2:11" ht="13.5" customHeight="1" outlineLevel="1"/>
    <row r="275" spans="2:11" ht="13.5" customHeight="1" outlineLevel="1">
      <c r="B275" s="82" t="s">
        <v>156</v>
      </c>
      <c r="C275" s="83"/>
      <c r="D275" s="84"/>
      <c r="E275" s="84"/>
      <c r="F275" s="84"/>
      <c r="G275" s="84"/>
      <c r="H275" s="84"/>
      <c r="I275" s="84"/>
      <c r="J275" s="84"/>
      <c r="K275" s="85"/>
    </row>
    <row r="276" spans="2:11" ht="13.5" customHeight="1" outlineLevel="1"/>
    <row r="277" spans="2:11" ht="13.5" customHeight="1" outlineLevel="1">
      <c r="B277" s="134" t="s">
        <v>159</v>
      </c>
      <c r="G277" s="215">
        <v>3.739725E-2</v>
      </c>
      <c r="H277" s="215">
        <v>4.1604000000000002E-2</v>
      </c>
      <c r="I277" s="215">
        <v>4.5736750000000007E-2</v>
      </c>
      <c r="J277" s="215">
        <v>4.8315000000000004E-2</v>
      </c>
      <c r="K277" s="215">
        <v>4.9805500000000003E-2</v>
      </c>
    </row>
    <row r="278" spans="2:11" ht="13.5" customHeight="1" outlineLevel="1">
      <c r="B278" s="134" t="s">
        <v>11</v>
      </c>
      <c r="G278" s="215">
        <v>2.5000000000000001E-3</v>
      </c>
      <c r="H278" s="150">
        <f t="shared" ref="H278:K279" si="127">G278</f>
        <v>2.5000000000000001E-3</v>
      </c>
      <c r="I278" s="150">
        <f t="shared" si="127"/>
        <v>2.5000000000000001E-3</v>
      </c>
      <c r="J278" s="150">
        <f t="shared" si="127"/>
        <v>2.5000000000000001E-3</v>
      </c>
      <c r="K278" s="150">
        <f t="shared" si="127"/>
        <v>2.5000000000000001E-3</v>
      </c>
    </row>
    <row r="279" spans="2:11" ht="13.5" customHeight="1" outlineLevel="1">
      <c r="B279" s="134" t="s">
        <v>161</v>
      </c>
      <c r="G279" s="215">
        <v>5.0000000000000001E-3</v>
      </c>
      <c r="H279" s="150">
        <f t="shared" si="127"/>
        <v>5.0000000000000001E-3</v>
      </c>
      <c r="I279" s="150">
        <f t="shared" si="127"/>
        <v>5.0000000000000001E-3</v>
      </c>
      <c r="J279" s="150">
        <f t="shared" si="127"/>
        <v>5.0000000000000001E-3</v>
      </c>
      <c r="K279" s="150">
        <f t="shared" si="127"/>
        <v>5.0000000000000001E-3</v>
      </c>
    </row>
    <row r="280" spans="2:11" ht="13.5" customHeight="1" outlineLevel="1"/>
    <row r="281" spans="2:11" ht="13.5" customHeight="1" outlineLevel="1">
      <c r="B281" s="34" t="str">
        <f>B319</f>
        <v>Revolver</v>
      </c>
      <c r="G281" s="150">
        <f t="shared" ref="G281:K285" si="128">$E319+(G$277+$F319)*($E319=0)</f>
        <v>7.9897250000000003E-2</v>
      </c>
      <c r="H281" s="150">
        <f t="shared" si="128"/>
        <v>8.4104000000000012E-2</v>
      </c>
      <c r="I281" s="150">
        <f t="shared" si="128"/>
        <v>8.8236750000000003E-2</v>
      </c>
      <c r="J281" s="150">
        <f t="shared" si="128"/>
        <v>9.0815000000000007E-2</v>
      </c>
      <c r="K281" s="150">
        <f t="shared" si="128"/>
        <v>9.2305500000000013E-2</v>
      </c>
    </row>
    <row r="282" spans="2:11" ht="13.5" customHeight="1" outlineLevel="1">
      <c r="B282" s="34" t="str">
        <f t="shared" ref="B282:B285" si="129">B320</f>
        <v>Senior credit facility</v>
      </c>
      <c r="G282" s="150">
        <f t="shared" si="128"/>
        <v>8.4897250000000007E-2</v>
      </c>
      <c r="H282" s="150">
        <f t="shared" si="128"/>
        <v>8.9104000000000003E-2</v>
      </c>
      <c r="I282" s="150">
        <f t="shared" si="128"/>
        <v>9.3236750000000007E-2</v>
      </c>
      <c r="J282" s="150">
        <f t="shared" si="128"/>
        <v>9.5815000000000011E-2</v>
      </c>
      <c r="K282" s="150">
        <f t="shared" si="128"/>
        <v>9.7305500000000003E-2</v>
      </c>
    </row>
    <row r="283" spans="2:11" ht="13.5" customHeight="1" outlineLevel="1">
      <c r="B283" s="34" t="str">
        <f t="shared" si="129"/>
        <v>Subordinated note</v>
      </c>
      <c r="G283" s="150">
        <f t="shared" si="128"/>
        <v>8.2500000000000004E-2</v>
      </c>
      <c r="H283" s="150">
        <f t="shared" si="128"/>
        <v>8.2500000000000004E-2</v>
      </c>
      <c r="I283" s="150">
        <f t="shared" si="128"/>
        <v>8.2500000000000004E-2</v>
      </c>
      <c r="J283" s="150">
        <f t="shared" si="128"/>
        <v>8.2500000000000004E-2</v>
      </c>
      <c r="K283" s="150">
        <f t="shared" si="128"/>
        <v>8.2500000000000004E-2</v>
      </c>
    </row>
    <row r="284" spans="2:11" ht="13.5" customHeight="1" outlineLevel="1">
      <c r="B284" s="34" t="str">
        <f t="shared" si="129"/>
        <v>Convertible bond</v>
      </c>
      <c r="G284" s="150">
        <f t="shared" si="128"/>
        <v>9.5000000000000001E-2</v>
      </c>
      <c r="H284" s="150">
        <f t="shared" si="128"/>
        <v>9.5000000000000001E-2</v>
      </c>
      <c r="I284" s="150">
        <f t="shared" si="128"/>
        <v>9.5000000000000001E-2</v>
      </c>
      <c r="J284" s="150">
        <f t="shared" si="128"/>
        <v>9.5000000000000001E-2</v>
      </c>
      <c r="K284" s="150">
        <f t="shared" si="128"/>
        <v>9.5000000000000001E-2</v>
      </c>
    </row>
    <row r="285" spans="2:11" ht="13.5" customHeight="1" outlineLevel="1">
      <c r="B285" s="34" t="str">
        <f t="shared" si="129"/>
        <v>Preferred stock</v>
      </c>
      <c r="G285" s="150">
        <f t="shared" si="128"/>
        <v>0.10249999999999999</v>
      </c>
      <c r="H285" s="150">
        <f t="shared" si="128"/>
        <v>0.10249999999999999</v>
      </c>
      <c r="I285" s="150">
        <f t="shared" si="128"/>
        <v>0.10249999999999999</v>
      </c>
      <c r="J285" s="150">
        <f t="shared" si="128"/>
        <v>0.10249999999999999</v>
      </c>
      <c r="K285" s="150">
        <f t="shared" si="128"/>
        <v>0.10249999999999999</v>
      </c>
    </row>
    <row r="286" spans="2:11" ht="13.5" customHeight="1" outlineLevel="1"/>
    <row r="287" spans="2:11" ht="13.5" customHeight="1" outlineLevel="1">
      <c r="B287" s="82" t="s">
        <v>237</v>
      </c>
      <c r="C287" s="83"/>
      <c r="D287" s="84"/>
      <c r="E287" s="84"/>
      <c r="F287" s="84"/>
      <c r="G287" s="84"/>
      <c r="H287" s="84"/>
      <c r="I287" s="84"/>
      <c r="J287" s="84"/>
      <c r="K287" s="85"/>
    </row>
    <row r="288" spans="2:11" ht="13.5" customHeight="1" outlineLevel="1"/>
    <row r="289" spans="2:11" ht="13.5" customHeight="1" outlineLevel="1">
      <c r="B289" s="134" t="s">
        <v>161</v>
      </c>
      <c r="G289" s="129">
        <f>G279*IF($D$314,AVERAGE(F244:G244),F244)*G$3</f>
        <v>0.42499999999999999</v>
      </c>
      <c r="H289" s="129">
        <f ca="1">H279*IF($D$314,AVERAGE(G244:H244),G244)*H$3</f>
        <v>0.5</v>
      </c>
      <c r="I289" s="129">
        <f ca="1">I279*IF($D$314,AVERAGE(H244:I244),H244)*I$3</f>
        <v>0.5</v>
      </c>
      <c r="J289" s="129">
        <f ca="1">J279*IF($D$314,AVERAGE(I244:J244),I244)*J$3</f>
        <v>0.5</v>
      </c>
      <c r="K289" s="129">
        <f ca="1">K279*IF($D$314,AVERAGE(J244:K244),J244)*K$3</f>
        <v>0.5</v>
      </c>
    </row>
    <row r="290" spans="2:11" ht="13.5" customHeight="1" outlineLevel="1"/>
    <row r="291" spans="2:11" ht="13.5" customHeight="1" outlineLevel="1">
      <c r="B291" s="34" t="str">
        <f>B319</f>
        <v>Revolver</v>
      </c>
      <c r="G291" s="129">
        <f>G281*IF($D$314,AVERAGE(G238,G241),G238)*G$3</f>
        <v>1.1984587500000001</v>
      </c>
      <c r="H291" s="129">
        <f ca="1">H281*IF($D$314,AVERAGE(H238,H241),H238)*H$3</f>
        <v>0</v>
      </c>
      <c r="I291" s="129">
        <f ca="1">I281*IF($D$314,AVERAGE(I238,I241),I238)*I$3</f>
        <v>0</v>
      </c>
      <c r="J291" s="129">
        <f ca="1">J281*IF($D$314,AVERAGE(J238,J241),J238)*J$3</f>
        <v>0</v>
      </c>
      <c r="K291" s="129">
        <f ca="1">K281*IF($D$314,AVERAGE(K238,K241),K238)*K$3</f>
        <v>0</v>
      </c>
    </row>
    <row r="292" spans="2:11" ht="13.5" customHeight="1" outlineLevel="1">
      <c r="B292" s="34" t="str">
        <f t="shared" ref="B292:B295" si="130">B320</f>
        <v>Senior credit facility</v>
      </c>
      <c r="G292" s="129">
        <f>G282*IF($D$314,AVERAGE(G247,G250),G247)*G$3</f>
        <v>0</v>
      </c>
      <c r="H292" s="129">
        <f ca="1">H282*IF($D$314,AVERAGE(H247,H250),H247)*H$3</f>
        <v>0</v>
      </c>
      <c r="I292" s="129">
        <f ca="1">I282*IF($D$314,AVERAGE(I247,I250),I247)*I$3</f>
        <v>0</v>
      </c>
      <c r="J292" s="129">
        <f ca="1">J282*IF($D$314,AVERAGE(J247,J250),J247)*J$3</f>
        <v>0</v>
      </c>
      <c r="K292" s="129">
        <f ca="1">K282*IF($D$314,AVERAGE(K247,K250),K247)*K$3</f>
        <v>0</v>
      </c>
    </row>
    <row r="293" spans="2:11" ht="13.5" customHeight="1" outlineLevel="1">
      <c r="B293" s="34" t="str">
        <f t="shared" si="130"/>
        <v>Subordinated note</v>
      </c>
      <c r="G293" s="129">
        <f>G283*IF($D$314,AVERAGE(G253,G256),G253)*G$3</f>
        <v>3.7537500000000001</v>
      </c>
      <c r="H293" s="129">
        <f ca="1">H283*IF($D$314,AVERAGE(H253,H256),H253)*H$3</f>
        <v>3.7537500000000001</v>
      </c>
      <c r="I293" s="129">
        <f ca="1">I283*IF($D$314,AVERAGE(I253,I256),I253)*I$3</f>
        <v>3.7537500000000001</v>
      </c>
      <c r="J293" s="129">
        <f ca="1">J283*IF($D$314,AVERAGE(J253,J256),J253)*J$3</f>
        <v>3.7537500000000001</v>
      </c>
      <c r="K293" s="129">
        <f ca="1">K283*IF($D$314,AVERAGE(K253,K256),K253)*K$3</f>
        <v>3.7537500000000001</v>
      </c>
    </row>
    <row r="294" spans="2:11" ht="13.5" customHeight="1" outlineLevel="1">
      <c r="B294" s="34" t="str">
        <f t="shared" si="130"/>
        <v>Convertible bond</v>
      </c>
      <c r="F294" s="128">
        <f>G294</f>
        <v>18.05</v>
      </c>
      <c r="G294" s="129">
        <f>G284*IF($D$314,AVERAGE(G259,G262),G259)*G$3</f>
        <v>18.05</v>
      </c>
      <c r="H294" s="129">
        <f>H284*IF($D$314,AVERAGE(H259,H262),H259)*H$3</f>
        <v>18.907375000000002</v>
      </c>
      <c r="I294" s="129">
        <f>I284*IF($D$314,AVERAGE(I259,I262),I259)*I$3</f>
        <v>19.8054753125</v>
      </c>
      <c r="J294" s="129">
        <f>J284*IF($D$314,AVERAGE(J259,J262),J259)*J$3</f>
        <v>20.746235389843751</v>
      </c>
      <c r="K294" s="129">
        <f>K284*IF($D$314,AVERAGE(K259,K262),K259)*K$3</f>
        <v>20.746235389843751</v>
      </c>
    </row>
    <row r="295" spans="2:11" ht="13.5" customHeight="1" outlineLevel="1">
      <c r="B295" s="34" t="str">
        <f t="shared" si="130"/>
        <v>Preferred stock</v>
      </c>
      <c r="F295" s="128">
        <f>G295</f>
        <v>0</v>
      </c>
      <c r="G295" s="129">
        <f>G285*IF($D$314,AVERAGE(G265,G268),G265)*G$3</f>
        <v>0</v>
      </c>
      <c r="H295" s="129">
        <f>H285*IF($D$314,AVERAGE(H265,H268),H265)*H$3</f>
        <v>0</v>
      </c>
      <c r="I295" s="129">
        <f>I285*IF($D$314,AVERAGE(I265,I268),I265)*I$3</f>
        <v>0</v>
      </c>
      <c r="J295" s="129">
        <f>J285*IF($D$314,AVERAGE(J265,J268),J265)*J$3</f>
        <v>0</v>
      </c>
      <c r="K295" s="129">
        <f>K285*IF($D$314,AVERAGE(K265,K268),K265)*K$3</f>
        <v>0</v>
      </c>
    </row>
    <row r="296" spans="2:11" ht="13.5" customHeight="1" outlineLevel="1"/>
    <row r="297" spans="2:11" ht="13.5" customHeight="1" outlineLevel="1">
      <c r="B297" s="134" t="s">
        <v>247</v>
      </c>
      <c r="G297" s="129">
        <f>G289+SUMPRODUCT(G291:G295,$G319:$G323)</f>
        <v>1.6234587500000002</v>
      </c>
      <c r="H297" s="129">
        <f ca="1">H289+SUMPRODUCT(H291:H295,$G319:$G323)</f>
        <v>0.5</v>
      </c>
      <c r="I297" s="129">
        <f ca="1">I289+SUMPRODUCT(I291:I295,$G319:$G323)</f>
        <v>0.5</v>
      </c>
      <c r="J297" s="129">
        <f ca="1">J289+SUMPRODUCT(J291:J295,$G319:$G323)</f>
        <v>0.5</v>
      </c>
      <c r="K297" s="129">
        <f ca="1">K289+SUMPRODUCT(K291:K295,$G319:$G323)</f>
        <v>0.5</v>
      </c>
    </row>
    <row r="298" spans="2:11" ht="13.5" customHeight="1" outlineLevel="1">
      <c r="B298" s="134" t="s">
        <v>248</v>
      </c>
      <c r="G298" s="129">
        <f>G289+SUM(G291:G295)-SUMPRODUCT(G291:G295,G306:G310)-(SUMPRODUCT(G291:G295,$H319:$H323)-SUMPRODUCT(G291:G295,G306:G310,$H319:$H323))</f>
        <v>14.402208750000002</v>
      </c>
      <c r="H298" s="129">
        <f t="shared" ref="H298:K298" ca="1" si="131">H289+SUM(H291:H295)-SUMPRODUCT(H291:H295,H306:H310)-(SUMPRODUCT(H291:H295,$H319:$H323)-SUMPRODUCT(H291:H295,H306:H310,$H319:$H323))</f>
        <v>13.707437500000001</v>
      </c>
      <c r="I298" s="129">
        <f t="shared" ca="1" si="131"/>
        <v>14.15648765625</v>
      </c>
      <c r="J298" s="129">
        <f t="shared" ca="1" si="131"/>
        <v>24.999985389843751</v>
      </c>
      <c r="K298" s="129">
        <f t="shared" ca="1" si="131"/>
        <v>24.999985389843751</v>
      </c>
    </row>
    <row r="299" spans="2:11" ht="13.5" customHeight="1" outlineLevel="1">
      <c r="B299" s="134" t="s">
        <v>238</v>
      </c>
      <c r="G299" s="129">
        <f>SUM(G289,G291:G295)-SUMPRODUCT(G291:G295,$H319:$H323)</f>
        <v>23.427208750000002</v>
      </c>
      <c r="H299" s="129">
        <f ca="1">SUM(H289,H291:H295)-SUMPRODUCT(H291:H295,$H319:$H323)</f>
        <v>23.161125000000002</v>
      </c>
      <c r="I299" s="129">
        <f ca="1">SUM(I289,I291:I295)-SUMPRODUCT(I291:I295,$H319:$H323)</f>
        <v>24.059225312500001</v>
      </c>
      <c r="J299" s="129">
        <f ca="1">SUM(J289,J291:J295)-SUMPRODUCT(J291:J295,$H319:$H323)</f>
        <v>24.999985389843751</v>
      </c>
      <c r="K299" s="129">
        <f ca="1">SUM(K289,K291:K295)-SUMPRODUCT(K291:K295,$H319:$H323)</f>
        <v>24.999985389843751</v>
      </c>
    </row>
    <row r="300" spans="2:11" ht="13.5" customHeight="1" outlineLevel="1">
      <c r="B300" s="134" t="s">
        <v>244</v>
      </c>
      <c r="G300" s="129">
        <f>SUMPRODUCT(G291:G295,$H319:$H323,$I319:$I323)</f>
        <v>0</v>
      </c>
      <c r="H300" s="129">
        <f ca="1">SUMPRODUCT(H291:H295,$H319:$H323,$I319:$I323)</f>
        <v>0</v>
      </c>
      <c r="I300" s="129">
        <f ca="1">SUMPRODUCT(I291:I295,$H319:$H323,$I319:$I323)</f>
        <v>0</v>
      </c>
      <c r="J300" s="129">
        <f ca="1">SUMPRODUCT(J291:J295,$H319:$H323,$I319:$I323)</f>
        <v>0</v>
      </c>
      <c r="K300" s="129">
        <f ca="1">SUMPRODUCT(K291:K295,$H319:$H323,$I319:$I323)</f>
        <v>0</v>
      </c>
    </row>
    <row r="301" spans="2:11" ht="13.5" customHeight="1" outlineLevel="1">
      <c r="B301" s="134" t="s">
        <v>245</v>
      </c>
      <c r="G301" s="129">
        <f>SUMPRODUCT(G291:G295,$H319:$H323)-G300</f>
        <v>0</v>
      </c>
      <c r="H301" s="129">
        <f ca="1">SUMPRODUCT(H291:H295,$H319:$H323)-H300</f>
        <v>0</v>
      </c>
      <c r="I301" s="129">
        <f ca="1">SUMPRODUCT(I291:I295,$H319:$H323)-I300</f>
        <v>0</v>
      </c>
      <c r="J301" s="129">
        <f ca="1">SUMPRODUCT(J291:J295,$H319:$H323)-J300</f>
        <v>0</v>
      </c>
      <c r="K301" s="129">
        <f ca="1">SUMPRODUCT(K291:K295,$H319:$H323)-K300</f>
        <v>0</v>
      </c>
    </row>
    <row r="302" spans="2:11" ht="13.5" customHeight="1" outlineLevel="1">
      <c r="B302" s="134" t="s">
        <v>239</v>
      </c>
      <c r="G302" s="129">
        <f t="shared" ref="G302:K302" si="132">G300+G301</f>
        <v>0</v>
      </c>
      <c r="H302" s="129">
        <f t="shared" ca="1" si="132"/>
        <v>0</v>
      </c>
      <c r="I302" s="129">
        <f t="shared" ca="1" si="132"/>
        <v>0</v>
      </c>
      <c r="J302" s="129">
        <f t="shared" ca="1" si="132"/>
        <v>0</v>
      </c>
      <c r="K302" s="129">
        <f t="shared" ca="1" si="132"/>
        <v>0</v>
      </c>
    </row>
    <row r="303" spans="2:11" ht="13.5" customHeight="1" outlineLevel="1"/>
    <row r="304" spans="2:11" ht="13.5" customHeight="1" outlineLevel="1">
      <c r="B304" s="82" t="s">
        <v>240</v>
      </c>
      <c r="C304" s="83"/>
      <c r="D304" s="84"/>
      <c r="E304" s="84"/>
      <c r="F304" s="84"/>
      <c r="G304" s="84"/>
      <c r="H304" s="84"/>
      <c r="I304" s="84"/>
      <c r="J304" s="84"/>
      <c r="K304" s="85"/>
    </row>
    <row r="305" spans="2:11" ht="13.5" customHeight="1" outlineLevel="1"/>
    <row r="306" spans="2:11" ht="13.5" customHeight="1" outlineLevel="1">
      <c r="B306" s="34" t="str">
        <f>B319</f>
        <v>Revolver</v>
      </c>
      <c r="G306" s="214">
        <v>0</v>
      </c>
      <c r="H306" s="214">
        <v>0</v>
      </c>
      <c r="I306" s="214">
        <v>0</v>
      </c>
      <c r="J306" s="214">
        <v>0</v>
      </c>
      <c r="K306" s="214">
        <v>0</v>
      </c>
    </row>
    <row r="307" spans="2:11" ht="13.5" customHeight="1" outlineLevel="1">
      <c r="B307" s="34" t="str">
        <f t="shared" ref="B307:B310" si="133">B320</f>
        <v>Senior credit facility</v>
      </c>
      <c r="G307" s="214">
        <v>0</v>
      </c>
      <c r="H307" s="214">
        <v>0</v>
      </c>
      <c r="I307" s="214">
        <v>0</v>
      </c>
      <c r="J307" s="214">
        <v>0</v>
      </c>
      <c r="K307" s="214">
        <v>0</v>
      </c>
    </row>
    <row r="308" spans="2:11" ht="13.5" customHeight="1" outlineLevel="1">
      <c r="B308" s="34" t="str">
        <f t="shared" si="133"/>
        <v>Subordinated note</v>
      </c>
      <c r="G308" s="214">
        <v>0</v>
      </c>
      <c r="H308" s="214">
        <v>0</v>
      </c>
      <c r="I308" s="214">
        <v>0</v>
      </c>
      <c r="J308" s="214">
        <v>0</v>
      </c>
      <c r="K308" s="214">
        <v>0</v>
      </c>
    </row>
    <row r="309" spans="2:11" ht="13.5" customHeight="1" outlineLevel="1">
      <c r="B309" s="34" t="str">
        <f t="shared" si="133"/>
        <v>Convertible bond</v>
      </c>
      <c r="G309" s="214">
        <v>0.5</v>
      </c>
      <c r="H309" s="214">
        <v>0.5</v>
      </c>
      <c r="I309" s="214">
        <v>0.5</v>
      </c>
      <c r="J309" s="214">
        <v>0</v>
      </c>
      <c r="K309" s="214">
        <v>0</v>
      </c>
    </row>
    <row r="310" spans="2:11" ht="13.5" customHeight="1" outlineLevel="1">
      <c r="B310" s="34" t="str">
        <f t="shared" si="133"/>
        <v>Preferred stock</v>
      </c>
      <c r="G310" s="214">
        <v>0</v>
      </c>
      <c r="H310" s="214">
        <v>0</v>
      </c>
      <c r="I310" s="214">
        <v>0</v>
      </c>
      <c r="J310" s="214">
        <v>0</v>
      </c>
      <c r="K310" s="214">
        <v>0</v>
      </c>
    </row>
    <row r="311" spans="2:11" ht="13.5" customHeight="1" outlineLevel="1"/>
    <row r="312" spans="2:11" ht="13.5" customHeight="1" outlineLevel="1">
      <c r="B312" s="82" t="s">
        <v>165</v>
      </c>
      <c r="C312" s="83"/>
      <c r="D312" s="84"/>
      <c r="E312" s="84"/>
      <c r="F312" s="84"/>
      <c r="G312" s="84"/>
      <c r="H312" s="84"/>
      <c r="I312" s="84"/>
      <c r="J312" s="84"/>
      <c r="K312" s="85"/>
    </row>
    <row r="313" spans="2:11" ht="13.5" customHeight="1" outlineLevel="1"/>
    <row r="314" spans="2:11" ht="13.5" customHeight="1" outlineLevel="1">
      <c r="B314" s="34" t="s">
        <v>139</v>
      </c>
      <c r="D314" s="216">
        <v>0</v>
      </c>
      <c r="H314" s="151"/>
      <c r="I314" s="151"/>
    </row>
    <row r="315" spans="2:11" ht="13.5" customHeight="1" outlineLevel="1">
      <c r="B315" s="119"/>
      <c r="C315" s="119"/>
      <c r="D315" s="119"/>
      <c r="E315" s="119"/>
      <c r="H315" s="151"/>
      <c r="I315" s="151"/>
    </row>
    <row r="316" spans="2:11" ht="13.5" customHeight="1" outlineLevel="1">
      <c r="B316" s="152"/>
      <c r="C316" s="152"/>
      <c r="D316" s="152"/>
      <c r="E316" s="49" t="s">
        <v>236</v>
      </c>
      <c r="F316" s="49" t="s">
        <v>166</v>
      </c>
      <c r="G316" s="49" t="s">
        <v>167</v>
      </c>
      <c r="H316" s="153" t="s">
        <v>129</v>
      </c>
      <c r="I316" s="153" t="s">
        <v>122</v>
      </c>
      <c r="J316" s="153" t="s">
        <v>121</v>
      </c>
      <c r="K316" s="49" t="s">
        <v>11</v>
      </c>
    </row>
    <row r="317" spans="2:11" ht="13.5" customHeight="1" outlineLevel="1" thickBot="1">
      <c r="B317" s="154"/>
      <c r="C317" s="154"/>
      <c r="D317" s="154"/>
      <c r="E317" s="155" t="s">
        <v>128</v>
      </c>
      <c r="F317" s="155" t="s">
        <v>159</v>
      </c>
      <c r="G317" s="155" t="s">
        <v>168</v>
      </c>
      <c r="H317" s="156" t="s">
        <v>127</v>
      </c>
      <c r="I317" s="156" t="s">
        <v>127</v>
      </c>
      <c r="J317" s="156" t="s">
        <v>115</v>
      </c>
      <c r="K317" s="155" t="s">
        <v>152</v>
      </c>
    </row>
    <row r="318" spans="2:11" ht="5.0999999999999996" customHeight="1" outlineLevel="1">
      <c r="B318" s="134"/>
      <c r="C318" s="119"/>
      <c r="D318" s="119"/>
      <c r="E318" s="119"/>
      <c r="F318" s="151"/>
      <c r="G318" s="151"/>
      <c r="H318" s="151"/>
    </row>
    <row r="319" spans="2:11" ht="13.5" customHeight="1" outlineLevel="1">
      <c r="B319" s="227" t="s">
        <v>34</v>
      </c>
      <c r="C319" s="157"/>
      <c r="D319" s="157"/>
      <c r="E319" s="217">
        <v>0</v>
      </c>
      <c r="F319" s="217">
        <v>4.2500000000000003E-2</v>
      </c>
      <c r="G319" s="216">
        <v>1</v>
      </c>
      <c r="H319" s="216">
        <v>0</v>
      </c>
      <c r="I319" s="216">
        <v>0</v>
      </c>
      <c r="J319" s="209">
        <v>0</v>
      </c>
      <c r="K319" s="210">
        <v>1</v>
      </c>
    </row>
    <row r="320" spans="2:11" ht="13.5" customHeight="1" outlineLevel="1">
      <c r="B320" s="227" t="s">
        <v>300</v>
      </c>
      <c r="C320" s="157"/>
      <c r="D320" s="157"/>
      <c r="E320" s="217">
        <v>0</v>
      </c>
      <c r="F320" s="217">
        <v>4.7500000000000001E-2</v>
      </c>
      <c r="G320" s="216">
        <v>1</v>
      </c>
      <c r="H320" s="216">
        <v>0</v>
      </c>
      <c r="I320" s="216">
        <v>0</v>
      </c>
      <c r="J320" s="209">
        <v>0</v>
      </c>
      <c r="K320" s="210">
        <v>1</v>
      </c>
    </row>
    <row r="321" spans="1:11" ht="13.5" customHeight="1" outlineLevel="1">
      <c r="B321" s="227" t="s">
        <v>301</v>
      </c>
      <c r="C321" s="157"/>
      <c r="D321" s="157"/>
      <c r="E321" s="217">
        <v>8.2500000000000004E-2</v>
      </c>
      <c r="F321" s="217">
        <v>0</v>
      </c>
      <c r="G321" s="216">
        <v>0</v>
      </c>
      <c r="H321" s="216">
        <v>0</v>
      </c>
      <c r="I321" s="216">
        <v>0</v>
      </c>
      <c r="J321" s="209">
        <v>0</v>
      </c>
      <c r="K321" s="210">
        <v>0</v>
      </c>
    </row>
    <row r="322" spans="1:11" ht="13.5" customHeight="1" outlineLevel="1">
      <c r="B322" s="227" t="s">
        <v>302</v>
      </c>
      <c r="C322" s="157"/>
      <c r="D322" s="157"/>
      <c r="E322" s="217">
        <v>9.5000000000000001E-2</v>
      </c>
      <c r="F322" s="217">
        <v>0</v>
      </c>
      <c r="G322" s="216">
        <v>0</v>
      </c>
      <c r="H322" s="216">
        <v>0</v>
      </c>
      <c r="I322" s="216">
        <v>1</v>
      </c>
      <c r="J322" s="209">
        <v>26.77</v>
      </c>
      <c r="K322" s="210">
        <v>0</v>
      </c>
    </row>
    <row r="323" spans="1:11" ht="13.5" customHeight="1" outlineLevel="1">
      <c r="B323" s="227" t="s">
        <v>274</v>
      </c>
      <c r="C323" s="157"/>
      <c r="D323" s="157"/>
      <c r="E323" s="217">
        <v>0.10249999999999999</v>
      </c>
      <c r="F323" s="217">
        <v>0</v>
      </c>
      <c r="G323" s="216">
        <v>0</v>
      </c>
      <c r="H323" s="216">
        <v>1</v>
      </c>
      <c r="I323" s="216">
        <v>0</v>
      </c>
      <c r="J323" s="209">
        <v>0</v>
      </c>
      <c r="K323" s="210">
        <v>0</v>
      </c>
    </row>
    <row r="324" spans="1:11" ht="5.0999999999999996" customHeight="1" outlineLevel="1" thickBot="1">
      <c r="B324" s="127"/>
      <c r="C324" s="127"/>
      <c r="D324" s="127"/>
      <c r="E324" s="90"/>
      <c r="F324" s="90"/>
      <c r="G324" s="90"/>
      <c r="H324" s="90"/>
      <c r="I324" s="90"/>
      <c r="J324" s="90"/>
      <c r="K324" s="90"/>
    </row>
    <row r="325" spans="1:11" ht="13.5" customHeight="1" outlineLevel="1"/>
    <row r="326" spans="1:11" ht="13.5" customHeight="1" outlineLevel="1" thickBot="1"/>
    <row r="327" spans="1:11" ht="20.7" thickTop="1">
      <c r="A327" s="41" t="s">
        <v>286</v>
      </c>
      <c r="B327" s="42" t="s">
        <v>180</v>
      </c>
      <c r="C327" s="43"/>
      <c r="D327" s="44"/>
      <c r="E327" s="44"/>
      <c r="F327" s="44"/>
      <c r="G327" s="44"/>
      <c r="H327" s="44"/>
      <c r="I327" s="44"/>
      <c r="J327" s="44"/>
      <c r="K327" s="44"/>
    </row>
    <row r="328" spans="1:11" ht="5.0999999999999996" customHeight="1" outlineLevel="1">
      <c r="B328" s="45"/>
      <c r="C328" s="46"/>
    </row>
    <row r="329" spans="1:11" ht="13.5" customHeight="1" outlineLevel="1">
      <c r="B329" s="47"/>
      <c r="C329" s="47"/>
      <c r="D329" s="47"/>
      <c r="E329" s="48"/>
      <c r="F329" s="49" t="s">
        <v>285</v>
      </c>
      <c r="G329" s="50" t="s">
        <v>284</v>
      </c>
      <c r="H329" s="50"/>
      <c r="I329" s="50"/>
      <c r="J329" s="50"/>
      <c r="K329" s="50"/>
    </row>
    <row r="330" spans="1:11" ht="13.5" customHeight="1" outlineLevel="1" thickBot="1">
      <c r="B330" s="51" t="s">
        <v>9</v>
      </c>
      <c r="C330" s="52"/>
      <c r="D330" s="52"/>
      <c r="E330" s="53"/>
      <c r="F330" s="54">
        <f t="shared" ref="F330:K330" si="134">F$8</f>
        <v>44926</v>
      </c>
      <c r="G330" s="54">
        <f t="shared" si="134"/>
        <v>45291</v>
      </c>
      <c r="H330" s="54">
        <f t="shared" si="134"/>
        <v>45657</v>
      </c>
      <c r="I330" s="54">
        <f t="shared" si="134"/>
        <v>46022</v>
      </c>
      <c r="J330" s="54">
        <f t="shared" si="134"/>
        <v>46387</v>
      </c>
      <c r="K330" s="54">
        <f t="shared" si="134"/>
        <v>46752</v>
      </c>
    </row>
    <row r="331" spans="1:11" ht="5.0999999999999996" customHeight="1" outlineLevel="1">
      <c r="B331" s="55"/>
      <c r="C331" s="55"/>
      <c r="D331" s="55"/>
      <c r="E331" s="56"/>
      <c r="F331" s="56"/>
      <c r="G331" s="56"/>
      <c r="H331" s="56"/>
      <c r="I331" s="56"/>
      <c r="J331" s="56"/>
    </row>
    <row r="332" spans="1:11" ht="13.5" customHeight="1" outlineLevel="1">
      <c r="B332" s="134" t="s">
        <v>172</v>
      </c>
      <c r="C332" s="119"/>
      <c r="D332" s="119"/>
      <c r="G332" s="208">
        <v>0</v>
      </c>
      <c r="H332" s="208">
        <v>0</v>
      </c>
      <c r="I332" s="208">
        <v>0</v>
      </c>
      <c r="J332" s="208">
        <v>0</v>
      </c>
      <c r="K332" s="208">
        <v>0</v>
      </c>
    </row>
    <row r="333" spans="1:11" ht="13.5" customHeight="1" outlineLevel="1">
      <c r="B333" s="134" t="s">
        <v>175</v>
      </c>
      <c r="C333" s="119"/>
      <c r="D333" s="119"/>
      <c r="G333" s="205">
        <v>0</v>
      </c>
      <c r="H333" s="205">
        <v>0</v>
      </c>
      <c r="I333" s="205">
        <v>0</v>
      </c>
      <c r="J333" s="205">
        <v>0</v>
      </c>
      <c r="K333" s="205">
        <v>0</v>
      </c>
    </row>
    <row r="334" spans="1:11" ht="13.5" customHeight="1" outlineLevel="1">
      <c r="B334" s="61" t="s">
        <v>176</v>
      </c>
      <c r="C334" s="61"/>
      <c r="D334" s="61"/>
      <c r="E334" s="61"/>
      <c r="F334" s="140"/>
      <c r="G334" s="140">
        <f t="shared" ref="G334:K334" si="135">SUM(G332:G333)</f>
        <v>0</v>
      </c>
      <c r="H334" s="140">
        <f t="shared" si="135"/>
        <v>0</v>
      </c>
      <c r="I334" s="140">
        <f t="shared" si="135"/>
        <v>0</v>
      </c>
      <c r="J334" s="140">
        <f t="shared" si="135"/>
        <v>0</v>
      </c>
      <c r="K334" s="140">
        <f t="shared" si="135"/>
        <v>0</v>
      </c>
    </row>
    <row r="335" spans="1:11" ht="13.5" customHeight="1" outlineLevel="1"/>
    <row r="336" spans="1:11" ht="13.5" customHeight="1" outlineLevel="1">
      <c r="B336" s="134" t="s">
        <v>177</v>
      </c>
      <c r="C336" s="119"/>
      <c r="D336" s="119"/>
      <c r="F336" s="210">
        <v>0.8</v>
      </c>
    </row>
    <row r="337" spans="1:11" ht="13.5" customHeight="1" outlineLevel="1"/>
    <row r="338" spans="1:11" ht="13.5" customHeight="1" outlineLevel="1">
      <c r="B338" s="134" t="s">
        <v>179</v>
      </c>
      <c r="C338" s="119"/>
      <c r="D338" s="119"/>
      <c r="F338" s="77"/>
      <c r="G338" s="77">
        <f>-G333*(1-$F336)*G73</f>
        <v>0</v>
      </c>
      <c r="H338" s="77">
        <f>-H333*(1-$F336)*H73</f>
        <v>0</v>
      </c>
      <c r="I338" s="77">
        <f>-I333*(1-$F336)*I73</f>
        <v>0</v>
      </c>
      <c r="J338" s="77">
        <f>-J333*(1-$F336)*J73</f>
        <v>0</v>
      </c>
      <c r="K338" s="77">
        <f>-K333*(1-$F336)*K73</f>
        <v>0</v>
      </c>
    </row>
    <row r="339" spans="1:11" ht="13.5" customHeight="1" outlineLevel="1">
      <c r="B339" s="134" t="s">
        <v>181</v>
      </c>
      <c r="C339" s="119"/>
      <c r="D339" s="119"/>
      <c r="F339" s="218">
        <v>0</v>
      </c>
      <c r="G339" s="60">
        <f>G334*(1-$F336*$F339)*G73</f>
        <v>0</v>
      </c>
      <c r="H339" s="60">
        <f>H334*(1-$F336*$F339)*H73</f>
        <v>0</v>
      </c>
      <c r="I339" s="60">
        <f>I334*(1-$F336*$F339)*I73</f>
        <v>0</v>
      </c>
      <c r="J339" s="60">
        <f>J334*(1-$F336*$F339)*J73</f>
        <v>0</v>
      </c>
      <c r="K339" s="60">
        <f>K334*(1-$F336*$F339)*K73</f>
        <v>0</v>
      </c>
    </row>
    <row r="340" spans="1:11" ht="13.5" customHeight="1" outlineLevel="1">
      <c r="B340" s="61" t="s">
        <v>178</v>
      </c>
      <c r="C340" s="61"/>
      <c r="D340" s="61"/>
      <c r="E340" s="61"/>
      <c r="F340" s="140"/>
      <c r="G340" s="140">
        <f t="shared" ref="G340:K340" si="136">SUM(G338:G339)</f>
        <v>0</v>
      </c>
      <c r="H340" s="140">
        <f t="shared" si="136"/>
        <v>0</v>
      </c>
      <c r="I340" s="140">
        <f t="shared" si="136"/>
        <v>0</v>
      </c>
      <c r="J340" s="140">
        <f t="shared" si="136"/>
        <v>0</v>
      </c>
      <c r="K340" s="140">
        <f t="shared" si="136"/>
        <v>0</v>
      </c>
    </row>
    <row r="341" spans="1:11" ht="13.5" customHeight="1" outlineLevel="1"/>
    <row r="342" spans="1:11" ht="13.5" customHeight="1" outlineLevel="1">
      <c r="B342" s="72" t="s">
        <v>182</v>
      </c>
      <c r="C342" s="72"/>
      <c r="D342" s="72"/>
      <c r="E342" s="72"/>
      <c r="F342" s="77"/>
      <c r="G342" s="77">
        <f>G332*G73-G340</f>
        <v>0</v>
      </c>
      <c r="H342" s="77">
        <f>H332*H73-H340</f>
        <v>0</v>
      </c>
      <c r="I342" s="77">
        <f>I332*I73-I340</f>
        <v>0</v>
      </c>
      <c r="J342" s="77">
        <f>J332*J73-J340</f>
        <v>0</v>
      </c>
      <c r="K342" s="77">
        <f>K332*K73-K340</f>
        <v>0</v>
      </c>
    </row>
    <row r="343" spans="1:11" ht="5.0999999999999996" customHeight="1" outlineLevel="1" thickBot="1">
      <c r="B343" s="117"/>
      <c r="C343" s="117"/>
      <c r="D343" s="117"/>
      <c r="E343" s="118"/>
      <c r="F343" s="118"/>
      <c r="G343" s="118"/>
      <c r="H343" s="118"/>
      <c r="I343" s="118"/>
      <c r="J343" s="118"/>
      <c r="K343" s="118"/>
    </row>
    <row r="344" spans="1:11" ht="13.5" customHeight="1" outlineLevel="1"/>
    <row r="345" spans="1:11" ht="13.5" customHeight="1" outlineLevel="1" thickBot="1"/>
    <row r="346" spans="1:11" ht="20.7" thickTop="1">
      <c r="A346" s="41" t="s">
        <v>286</v>
      </c>
      <c r="B346" s="42" t="s">
        <v>162</v>
      </c>
      <c r="C346" s="43"/>
      <c r="D346" s="44"/>
      <c r="E346" s="44"/>
      <c r="F346" s="44"/>
      <c r="G346" s="44"/>
      <c r="H346" s="44"/>
      <c r="I346" s="44"/>
      <c r="J346" s="44"/>
      <c r="K346" s="44"/>
    </row>
    <row r="347" spans="1:11" ht="5.0999999999999996" customHeight="1" outlineLevel="1">
      <c r="B347" s="45"/>
      <c r="C347" s="46"/>
    </row>
    <row r="348" spans="1:11" ht="13.5" customHeight="1" outlineLevel="1">
      <c r="B348" s="47"/>
      <c r="C348" s="47"/>
      <c r="D348" s="47"/>
      <c r="E348" s="48"/>
      <c r="F348" s="49" t="s">
        <v>285</v>
      </c>
      <c r="G348" s="50" t="s">
        <v>284</v>
      </c>
      <c r="H348" s="50"/>
      <c r="I348" s="50"/>
      <c r="J348" s="50"/>
      <c r="K348" s="50"/>
    </row>
    <row r="349" spans="1:11" ht="13.5" customHeight="1" outlineLevel="1" thickBot="1">
      <c r="B349" s="51" t="s">
        <v>9</v>
      </c>
      <c r="C349" s="52"/>
      <c r="D349" s="52"/>
      <c r="E349" s="53"/>
      <c r="F349" s="54">
        <f t="shared" ref="F349:K349" si="137">F$8</f>
        <v>44926</v>
      </c>
      <c r="G349" s="54">
        <f t="shared" si="137"/>
        <v>45291</v>
      </c>
      <c r="H349" s="54">
        <f t="shared" si="137"/>
        <v>45657</v>
      </c>
      <c r="I349" s="54">
        <f t="shared" si="137"/>
        <v>46022</v>
      </c>
      <c r="J349" s="54">
        <f t="shared" si="137"/>
        <v>46387</v>
      </c>
      <c r="K349" s="54">
        <f t="shared" si="137"/>
        <v>46752</v>
      </c>
    </row>
    <row r="350" spans="1:11" ht="5.0999999999999996" customHeight="1" outlineLevel="1">
      <c r="B350" s="55"/>
      <c r="C350" s="55"/>
      <c r="D350" s="55"/>
      <c r="E350" s="56"/>
      <c r="F350" s="56"/>
      <c r="G350" s="56"/>
      <c r="H350" s="56"/>
      <c r="I350" s="56"/>
      <c r="J350" s="56"/>
    </row>
    <row r="351" spans="1:11" ht="13.5" customHeight="1" outlineLevel="1">
      <c r="B351" s="72" t="s">
        <v>62</v>
      </c>
      <c r="C351" s="119"/>
      <c r="D351" s="119"/>
      <c r="F351" s="133"/>
      <c r="G351" s="133">
        <f>G46</f>
        <v>15.96</v>
      </c>
      <c r="H351" s="133">
        <f>H46</f>
        <v>16.757999999999999</v>
      </c>
      <c r="I351" s="133">
        <f>I46</f>
        <v>17.5959</v>
      </c>
      <c r="J351" s="133">
        <f>J46</f>
        <v>18.475695000000002</v>
      </c>
      <c r="K351" s="133">
        <f>K46</f>
        <v>19.399479750000001</v>
      </c>
    </row>
    <row r="352" spans="1:11" ht="13.5" customHeight="1" outlineLevel="1"/>
    <row r="353" spans="2:11" ht="13.5" customHeight="1" outlineLevel="1">
      <c r="B353" s="82" t="s">
        <v>290</v>
      </c>
      <c r="C353" s="83"/>
      <c r="D353" s="84"/>
      <c r="E353" s="84"/>
      <c r="F353" s="84"/>
      <c r="G353" s="84"/>
      <c r="H353" s="84"/>
      <c r="I353" s="84"/>
      <c r="J353" s="84"/>
      <c r="K353" s="85"/>
    </row>
    <row r="354" spans="2:11" ht="13.5" customHeight="1" outlineLevel="1"/>
    <row r="355" spans="2:11" ht="13.5" customHeight="1" outlineLevel="1">
      <c r="B355" s="72" t="s">
        <v>95</v>
      </c>
      <c r="D355" s="119"/>
      <c r="F355" s="205">
        <v>10</v>
      </c>
    </row>
    <row r="356" spans="2:11" ht="13.5" customHeight="1" outlineLevel="1">
      <c r="B356" s="72" t="s">
        <v>196</v>
      </c>
      <c r="D356" s="119"/>
      <c r="F356" s="218">
        <v>1</v>
      </c>
    </row>
    <row r="357" spans="2:11" ht="13.5" customHeight="1" outlineLevel="1"/>
    <row r="358" spans="2:11" ht="13.5" customHeight="1" outlineLevel="1">
      <c r="B358" s="158">
        <f t="array" ref="B358:B362">TRANSPOSE(G349:K349)</f>
        <v>45291</v>
      </c>
      <c r="C358" s="133">
        <f t="array" ref="C358:C362">TRANSPOSE(G351:K351)</f>
        <v>15.96</v>
      </c>
      <c r="G358" s="159">
        <f>MIN($C358/$F$355*G$3,$C358-SUM($F358:F358))*IF($F$356,0.5,1)</f>
        <v>0.79800000000000004</v>
      </c>
      <c r="H358" s="120">
        <f>MIN($C358/$F$355*H$3,$C358-SUM($F358:G358))</f>
        <v>1.5960000000000001</v>
      </c>
      <c r="I358" s="120">
        <f>MIN($C358/$F$355*I$3,$C358-SUM($F358:H358))</f>
        <v>1.5960000000000001</v>
      </c>
      <c r="J358" s="120">
        <f>MIN($C358/$F$355*J$3,$C358-SUM($F358:I358))</f>
        <v>1.5960000000000001</v>
      </c>
      <c r="K358" s="120">
        <f>MIN($C358/$F$355*K$3,$C358-SUM($F358:J358))</f>
        <v>1.5960000000000001</v>
      </c>
    </row>
    <row r="359" spans="2:11" ht="13.5" customHeight="1" outlineLevel="1">
      <c r="B359" s="158">
        <v>45657</v>
      </c>
      <c r="C359" s="133">
        <v>16.757999999999999</v>
      </c>
      <c r="G359" s="160"/>
      <c r="H359" s="130">
        <f>MIN($C359/$F$355*H$3,$C359-SUM($F359:G359))*IF($F$356,0.5,1)</f>
        <v>0.83789999999999998</v>
      </c>
      <c r="I359" s="131">
        <f>MIN($C359/$F$355*I$3,$C359-SUM($F359:H359))</f>
        <v>1.6758</v>
      </c>
      <c r="J359" s="131">
        <f>MIN($C359/$F$355*J$3,$C359-SUM($F359:I359))</f>
        <v>1.6758</v>
      </c>
      <c r="K359" s="121">
        <f>MIN($C359/$F$355*K$3,$C359-SUM($F359:J359))</f>
        <v>1.6758</v>
      </c>
    </row>
    <row r="360" spans="2:11" ht="13.5" customHeight="1" outlineLevel="1">
      <c r="B360" s="158">
        <v>46022</v>
      </c>
      <c r="C360" s="133">
        <v>17.5959</v>
      </c>
      <c r="G360" s="160"/>
      <c r="H360" s="160"/>
      <c r="I360" s="130">
        <f>MIN($C360/$F$355*I$3,$C360-SUM($F360:H360))*IF($F$356,0.5,1)</f>
        <v>0.87979499999999999</v>
      </c>
      <c r="J360" s="131">
        <f>MIN($C360/$F$355*J$3,$C360-SUM($F360:I360))</f>
        <v>1.75959</v>
      </c>
      <c r="K360" s="121">
        <f>MIN($C360/$F$355*K$3,$C360-SUM($F360:J360))</f>
        <v>1.75959</v>
      </c>
    </row>
    <row r="361" spans="2:11" ht="13.5" customHeight="1" outlineLevel="1">
      <c r="B361" s="158">
        <v>46387</v>
      </c>
      <c r="C361" s="133">
        <v>18.475695000000002</v>
      </c>
      <c r="G361" s="160"/>
      <c r="H361" s="160"/>
      <c r="I361" s="160"/>
      <c r="J361" s="130">
        <f>MIN($C361/$F$355*J$3,$C361-SUM($F361:I361))*IF($F$356,0.5,1)</f>
        <v>0.92378475000000004</v>
      </c>
      <c r="K361" s="121">
        <f>MIN($C361/$F$355*K$3,$C361-SUM($F361:J361))</f>
        <v>1.8475695000000001</v>
      </c>
    </row>
    <row r="362" spans="2:11" ht="13.5" customHeight="1" outlineLevel="1">
      <c r="B362" s="158">
        <v>46752</v>
      </c>
      <c r="C362" s="133">
        <v>19.399479750000001</v>
      </c>
      <c r="G362" s="160"/>
      <c r="H362" s="160"/>
      <c r="I362" s="160"/>
      <c r="J362" s="160"/>
      <c r="K362" s="130">
        <f>MIN($C362/$F$355*K$3,$C362-SUM($F362:J362))*IF($F$356,0.5,1)</f>
        <v>0.96997398750000008</v>
      </c>
    </row>
    <row r="363" spans="2:11" ht="13.5" customHeight="1" outlineLevel="1">
      <c r="B363" s="61" t="s">
        <v>282</v>
      </c>
      <c r="C363" s="61"/>
      <c r="D363" s="61"/>
      <c r="E363" s="61"/>
      <c r="F363" s="61"/>
      <c r="G363" s="62">
        <f>SUM(G358:G362)</f>
        <v>0.79800000000000004</v>
      </c>
      <c r="H363" s="62">
        <f t="shared" ref="H363:K363" si="138">SUM(H358:H362)</f>
        <v>2.4339</v>
      </c>
      <c r="I363" s="62">
        <f t="shared" si="138"/>
        <v>4.1515949999999995</v>
      </c>
      <c r="J363" s="62">
        <f t="shared" si="138"/>
        <v>5.9551747500000003</v>
      </c>
      <c r="K363" s="62">
        <f t="shared" si="138"/>
        <v>7.848933487500001</v>
      </c>
    </row>
    <row r="364" spans="2:11" ht="13.5" customHeight="1" outlineLevel="1">
      <c r="B364" s="72" t="s">
        <v>184</v>
      </c>
      <c r="C364" s="119"/>
      <c r="D364" s="119"/>
      <c r="F364" s="119"/>
      <c r="G364" s="131">
        <f t="shared" ref="G364:K364" si="139">G365-G363</f>
        <v>13.902000000000001</v>
      </c>
      <c r="H364" s="131">
        <f t="shared" si="139"/>
        <v>13.001100000000001</v>
      </c>
      <c r="I364" s="131">
        <f t="shared" si="139"/>
        <v>12.055154999999999</v>
      </c>
      <c r="J364" s="131">
        <f t="shared" si="139"/>
        <v>11.061912749999998</v>
      </c>
      <c r="K364" s="131">
        <f t="shared" si="139"/>
        <v>10.019008387499998</v>
      </c>
    </row>
    <row r="365" spans="2:11" ht="13.5" customHeight="1" outlineLevel="1">
      <c r="B365" s="161" t="s">
        <v>195</v>
      </c>
      <c r="C365" s="161"/>
      <c r="D365" s="161"/>
      <c r="E365" s="161"/>
      <c r="F365" s="161"/>
      <c r="G365" s="162">
        <f>G15</f>
        <v>14.700000000000001</v>
      </c>
      <c r="H365" s="162">
        <f>H15</f>
        <v>15.435</v>
      </c>
      <c r="I365" s="162">
        <f>I15</f>
        <v>16.20675</v>
      </c>
      <c r="J365" s="162">
        <f>J15</f>
        <v>17.017087499999999</v>
      </c>
      <c r="K365" s="162">
        <f>K15</f>
        <v>17.867941875</v>
      </c>
    </row>
    <row r="366" spans="2:11" ht="13.5" customHeight="1" outlineLevel="1"/>
    <row r="367" spans="2:11" ht="13.5" customHeight="1" outlineLevel="1" collapsed="1">
      <c r="B367" s="82" t="s">
        <v>298</v>
      </c>
      <c r="C367" s="83"/>
      <c r="D367" s="84"/>
      <c r="E367" s="84"/>
      <c r="F367" s="84"/>
      <c r="G367" s="84"/>
      <c r="H367" s="84"/>
      <c r="I367" s="84"/>
      <c r="J367" s="84"/>
      <c r="K367" s="85"/>
    </row>
    <row r="368" spans="2:11" ht="13.5" hidden="1" customHeight="1" outlineLevel="2"/>
    <row r="369" spans="2:8" ht="13.5" hidden="1" customHeight="1" outlineLevel="2">
      <c r="B369" s="163"/>
      <c r="C369" s="50" t="s">
        <v>299</v>
      </c>
      <c r="D369" s="50"/>
      <c r="E369" s="50"/>
      <c r="F369" s="50"/>
      <c r="G369" s="50"/>
      <c r="H369" s="50"/>
    </row>
    <row r="370" spans="2:8" ht="13.5" hidden="1" customHeight="1" outlineLevel="2" thickBot="1">
      <c r="B370" s="164" t="s">
        <v>112</v>
      </c>
      <c r="C370" s="219">
        <v>3</v>
      </c>
      <c r="D370" s="219">
        <v>5</v>
      </c>
      <c r="E370" s="219">
        <v>7</v>
      </c>
      <c r="F370" s="219">
        <v>10</v>
      </c>
      <c r="G370" s="219">
        <v>15</v>
      </c>
      <c r="H370" s="219">
        <v>20</v>
      </c>
    </row>
    <row r="371" spans="2:8" ht="13.5" hidden="1" customHeight="1" outlineLevel="2">
      <c r="C371" s="152"/>
    </row>
    <row r="372" spans="2:8" ht="13.5" hidden="1" customHeight="1" outlineLevel="2">
      <c r="B372" s="220">
        <v>1</v>
      </c>
      <c r="C372" s="221">
        <v>0.33329999999999999</v>
      </c>
      <c r="D372" s="221">
        <v>0.2</v>
      </c>
      <c r="E372" s="221">
        <v>0.1429</v>
      </c>
      <c r="F372" s="221">
        <v>0.1</v>
      </c>
      <c r="G372" s="221">
        <v>0.05</v>
      </c>
      <c r="H372" s="221">
        <v>3.7499999999999999E-2</v>
      </c>
    </row>
    <row r="373" spans="2:8" ht="13.5" hidden="1" customHeight="1" outlineLevel="2">
      <c r="B373" s="146">
        <f t="shared" ref="B373:B392" si="140">B372+1</f>
        <v>2</v>
      </c>
      <c r="C373" s="221">
        <v>0.44450000000000001</v>
      </c>
      <c r="D373" s="221">
        <v>0.32</v>
      </c>
      <c r="E373" s="221">
        <v>0.24490000000000001</v>
      </c>
      <c r="F373" s="221">
        <v>0.18</v>
      </c>
      <c r="G373" s="221">
        <v>9.5000000000000001E-2</v>
      </c>
      <c r="H373" s="221">
        <v>7.2190000000000004E-2</v>
      </c>
    </row>
    <row r="374" spans="2:8" ht="13.5" hidden="1" customHeight="1" outlineLevel="2">
      <c r="B374" s="146">
        <f t="shared" si="140"/>
        <v>3</v>
      </c>
      <c r="C374" s="221">
        <v>0.14810000000000001</v>
      </c>
      <c r="D374" s="221">
        <v>0.192</v>
      </c>
      <c r="E374" s="221">
        <v>0.1749</v>
      </c>
      <c r="F374" s="221">
        <v>0.14399999999999999</v>
      </c>
      <c r="G374" s="221">
        <v>8.5500000000000007E-2</v>
      </c>
      <c r="H374" s="221">
        <v>6.6769999999999996E-2</v>
      </c>
    </row>
    <row r="375" spans="2:8" ht="13.5" hidden="1" customHeight="1" outlineLevel="2">
      <c r="B375" s="146">
        <f t="shared" si="140"/>
        <v>4</v>
      </c>
      <c r="C375" s="221">
        <v>7.4099999999999999E-2</v>
      </c>
      <c r="D375" s="221">
        <v>0.1152</v>
      </c>
      <c r="E375" s="221">
        <v>0.1249</v>
      </c>
      <c r="F375" s="221">
        <v>0.1152</v>
      </c>
      <c r="G375" s="221">
        <v>7.6999999999999999E-2</v>
      </c>
      <c r="H375" s="221">
        <v>6.1769999999999999E-2</v>
      </c>
    </row>
    <row r="376" spans="2:8" ht="13.5" hidden="1" customHeight="1" outlineLevel="2">
      <c r="B376" s="146">
        <f t="shared" si="140"/>
        <v>5</v>
      </c>
      <c r="C376" s="160"/>
      <c r="D376" s="221">
        <v>0.1152</v>
      </c>
      <c r="E376" s="221">
        <v>8.9300000000000004E-2</v>
      </c>
      <c r="F376" s="221">
        <v>9.2200000000000004E-2</v>
      </c>
      <c r="G376" s="221">
        <v>6.93E-2</v>
      </c>
      <c r="H376" s="221">
        <v>5.713E-2</v>
      </c>
    </row>
    <row r="377" spans="2:8" ht="13.5" hidden="1" customHeight="1" outlineLevel="2">
      <c r="B377" s="146">
        <f t="shared" si="140"/>
        <v>6</v>
      </c>
      <c r="C377" s="160"/>
      <c r="D377" s="221">
        <v>5.7599999999999998E-2</v>
      </c>
      <c r="E377" s="221">
        <v>8.9200000000000002E-2</v>
      </c>
      <c r="F377" s="221">
        <v>7.3700000000000002E-2</v>
      </c>
      <c r="G377" s="221">
        <v>6.2300000000000001E-2</v>
      </c>
      <c r="H377" s="221">
        <v>5.2850000000000001E-2</v>
      </c>
    </row>
    <row r="378" spans="2:8" ht="13.5" hidden="1" customHeight="1" outlineLevel="2">
      <c r="B378" s="146">
        <f t="shared" si="140"/>
        <v>7</v>
      </c>
      <c r="C378" s="160"/>
      <c r="D378" s="160"/>
      <c r="E378" s="221">
        <v>8.9300000000000004E-2</v>
      </c>
      <c r="F378" s="221">
        <v>6.5500000000000003E-2</v>
      </c>
      <c r="G378" s="221">
        <v>5.8999999999999997E-2</v>
      </c>
      <c r="H378" s="221">
        <v>4.888E-2</v>
      </c>
    </row>
    <row r="379" spans="2:8" ht="13.5" hidden="1" customHeight="1" outlineLevel="2">
      <c r="B379" s="146">
        <f t="shared" si="140"/>
        <v>8</v>
      </c>
      <c r="C379" s="160"/>
      <c r="D379" s="160"/>
      <c r="E379" s="221">
        <v>4.4600000000000001E-2</v>
      </c>
      <c r="F379" s="221">
        <v>6.5500000000000003E-2</v>
      </c>
      <c r="G379" s="221">
        <v>5.8999999999999997E-2</v>
      </c>
      <c r="H379" s="221">
        <v>4.5220000000000003E-2</v>
      </c>
    </row>
    <row r="380" spans="2:8" ht="13.5" hidden="1" customHeight="1" outlineLevel="2">
      <c r="B380" s="146">
        <f t="shared" si="140"/>
        <v>9</v>
      </c>
      <c r="C380" s="160"/>
      <c r="D380" s="160"/>
      <c r="E380" s="160"/>
      <c r="F380" s="221">
        <v>6.5600000000000006E-2</v>
      </c>
      <c r="G380" s="221">
        <v>5.91E-2</v>
      </c>
      <c r="H380" s="221">
        <v>4.462E-2</v>
      </c>
    </row>
    <row r="381" spans="2:8" ht="13.5" hidden="1" customHeight="1" outlineLevel="2">
      <c r="B381" s="146">
        <f t="shared" si="140"/>
        <v>10</v>
      </c>
      <c r="C381" s="160"/>
      <c r="D381" s="160"/>
      <c r="E381" s="160"/>
      <c r="F381" s="221">
        <v>6.5500000000000003E-2</v>
      </c>
      <c r="G381" s="221">
        <v>5.8999999999999997E-2</v>
      </c>
      <c r="H381" s="221">
        <v>4.4609999999999997E-2</v>
      </c>
    </row>
    <row r="382" spans="2:8" ht="13.5" hidden="1" customHeight="1" outlineLevel="2">
      <c r="B382" s="146">
        <f t="shared" si="140"/>
        <v>11</v>
      </c>
      <c r="C382" s="160"/>
      <c r="D382" s="160"/>
      <c r="E382" s="160"/>
      <c r="F382" s="221">
        <v>3.2800000000000003E-2</v>
      </c>
      <c r="G382" s="221">
        <v>5.91E-2</v>
      </c>
      <c r="H382" s="221">
        <v>4.462E-2</v>
      </c>
    </row>
    <row r="383" spans="2:8" ht="13.5" hidden="1" customHeight="1" outlineLevel="2">
      <c r="B383" s="146">
        <f t="shared" si="140"/>
        <v>12</v>
      </c>
      <c r="C383" s="160"/>
      <c r="D383" s="160"/>
      <c r="E383" s="160"/>
      <c r="F383" s="160"/>
      <c r="G383" s="221">
        <v>5.8999999999999997E-2</v>
      </c>
      <c r="H383" s="221">
        <v>4.4609999999999997E-2</v>
      </c>
    </row>
    <row r="384" spans="2:8" ht="13.5" hidden="1" customHeight="1" outlineLevel="2">
      <c r="B384" s="146">
        <f t="shared" si="140"/>
        <v>13</v>
      </c>
      <c r="C384" s="160"/>
      <c r="D384" s="160"/>
      <c r="E384" s="160"/>
      <c r="F384" s="160"/>
      <c r="G384" s="221">
        <v>5.91E-2</v>
      </c>
      <c r="H384" s="221">
        <v>4.462E-2</v>
      </c>
    </row>
    <row r="385" spans="2:11" ht="13.5" hidden="1" customHeight="1" outlineLevel="2">
      <c r="B385" s="146">
        <f t="shared" si="140"/>
        <v>14</v>
      </c>
      <c r="C385" s="160"/>
      <c r="D385" s="160"/>
      <c r="E385" s="160"/>
      <c r="F385" s="160"/>
      <c r="G385" s="221">
        <v>5.8999999999999997E-2</v>
      </c>
      <c r="H385" s="221">
        <v>4.4609999999999997E-2</v>
      </c>
    </row>
    <row r="386" spans="2:11" ht="13.5" hidden="1" customHeight="1" outlineLevel="2">
      <c r="B386" s="146">
        <f t="shared" si="140"/>
        <v>15</v>
      </c>
      <c r="C386" s="160"/>
      <c r="D386" s="160"/>
      <c r="E386" s="160"/>
      <c r="F386" s="160"/>
      <c r="G386" s="221">
        <v>5.91E-2</v>
      </c>
      <c r="H386" s="221">
        <v>4.462E-2</v>
      </c>
    </row>
    <row r="387" spans="2:11" ht="13.5" hidden="1" customHeight="1" outlineLevel="2">
      <c r="B387" s="146">
        <f t="shared" si="140"/>
        <v>16</v>
      </c>
      <c r="C387" s="160"/>
      <c r="D387" s="160"/>
      <c r="E387" s="160"/>
      <c r="F387" s="160"/>
      <c r="G387" s="221">
        <v>2.9499999999999998E-2</v>
      </c>
      <c r="H387" s="221">
        <v>4.4609999999999997E-2</v>
      </c>
    </row>
    <row r="388" spans="2:11" ht="13.5" hidden="1" customHeight="1" outlineLevel="2">
      <c r="B388" s="146">
        <f t="shared" si="140"/>
        <v>17</v>
      </c>
      <c r="C388" s="160"/>
      <c r="D388" s="160"/>
      <c r="E388" s="160"/>
      <c r="F388" s="160"/>
      <c r="G388" s="160"/>
      <c r="H388" s="221">
        <v>4.462E-2</v>
      </c>
    </row>
    <row r="389" spans="2:11" ht="13.5" hidden="1" customHeight="1" outlineLevel="2">
      <c r="B389" s="146">
        <f t="shared" si="140"/>
        <v>18</v>
      </c>
      <c r="C389" s="160"/>
      <c r="D389" s="160"/>
      <c r="E389" s="160"/>
      <c r="F389" s="160"/>
      <c r="G389" s="160"/>
      <c r="H389" s="221">
        <v>4.4609999999999997E-2</v>
      </c>
    </row>
    <row r="390" spans="2:11" ht="13.5" hidden="1" customHeight="1" outlineLevel="2">
      <c r="B390" s="146">
        <f t="shared" si="140"/>
        <v>19</v>
      </c>
      <c r="C390" s="160"/>
      <c r="D390" s="160"/>
      <c r="E390" s="160"/>
      <c r="F390" s="160"/>
      <c r="G390" s="160"/>
      <c r="H390" s="221">
        <v>4.462E-2</v>
      </c>
    </row>
    <row r="391" spans="2:11" ht="13.5" hidden="1" customHeight="1" outlineLevel="2">
      <c r="B391" s="146">
        <f t="shared" si="140"/>
        <v>20</v>
      </c>
      <c r="C391" s="160"/>
      <c r="D391" s="160"/>
      <c r="E391" s="160"/>
      <c r="F391" s="160"/>
      <c r="G391" s="160"/>
      <c r="H391" s="221">
        <v>4.4609999999999997E-2</v>
      </c>
    </row>
    <row r="392" spans="2:11" ht="13.5" hidden="1" customHeight="1" outlineLevel="2">
      <c r="B392" s="146">
        <f t="shared" si="140"/>
        <v>21</v>
      </c>
      <c r="C392" s="160"/>
      <c r="D392" s="160"/>
      <c r="E392" s="160"/>
      <c r="F392" s="160"/>
      <c r="G392" s="160"/>
      <c r="H392" s="221">
        <v>2.231E-2</v>
      </c>
    </row>
    <row r="393" spans="2:11" ht="13.5" hidden="1" customHeight="1" outlineLevel="2">
      <c r="B393" s="165" t="s">
        <v>35</v>
      </c>
      <c r="C393" s="166">
        <f t="shared" ref="C393:H393" si="141">SUM(C372:C392)</f>
        <v>1</v>
      </c>
      <c r="D393" s="166">
        <f t="shared" si="141"/>
        <v>0.99999999999999989</v>
      </c>
      <c r="E393" s="166">
        <f t="shared" si="141"/>
        <v>1.0000000000000002</v>
      </c>
      <c r="F393" s="166">
        <f t="shared" si="141"/>
        <v>1</v>
      </c>
      <c r="G393" s="166">
        <f t="shared" si="141"/>
        <v>1.0000000000000002</v>
      </c>
      <c r="H393" s="166">
        <f t="shared" si="141"/>
        <v>1.0000000000000002</v>
      </c>
    </row>
    <row r="394" spans="2:11" ht="13.5" hidden="1" customHeight="1" outlineLevel="2">
      <c r="B394" s="45" t="s">
        <v>287</v>
      </c>
    </row>
    <row r="395" spans="2:11" ht="13.5" customHeight="1" outlineLevel="1"/>
    <row r="396" spans="2:11" ht="13.5" customHeight="1" outlineLevel="1">
      <c r="B396" s="34" t="s">
        <v>289</v>
      </c>
      <c r="E396" s="56"/>
      <c r="F396" s="205">
        <v>10</v>
      </c>
    </row>
    <row r="397" spans="2:11" ht="13.5" customHeight="1" outlineLevel="1"/>
    <row r="398" spans="2:11" ht="13.5" customHeight="1" outlineLevel="1">
      <c r="B398" s="158">
        <f>B358</f>
        <v>45291</v>
      </c>
      <c r="C398" s="133">
        <f>C358</f>
        <v>15.96</v>
      </c>
      <c r="G398" s="120">
        <f>$C398*HLOOKUP($F$396,$C$370:$H$392,COUNTA($F398:F398)+1+2)</f>
        <v>1.5960000000000001</v>
      </c>
      <c r="H398" s="120">
        <f>$C398*HLOOKUP($F$396,$C$370:$H$392,COUNTA($F398:G398)+1+2)</f>
        <v>2.8728000000000002</v>
      </c>
      <c r="I398" s="120">
        <f>$C398*HLOOKUP($F$396,$C$370:$H$392,COUNTA($F398:H398)+1+2)</f>
        <v>2.2982399999999998</v>
      </c>
      <c r="J398" s="120">
        <f>$C398*HLOOKUP($F$396,$C$370:$H$392,COUNTA($F398:I398)+1+2)</f>
        <v>1.838592</v>
      </c>
      <c r="K398" s="120">
        <f>$C398*HLOOKUP($F$396,$C$370:$H$392,COUNTA($F398:J398)+1+2)</f>
        <v>1.4715120000000002</v>
      </c>
    </row>
    <row r="399" spans="2:11" ht="13.5" customHeight="1" outlineLevel="1">
      <c r="B399" s="158">
        <f t="shared" ref="B399:C402" si="142">B359</f>
        <v>45657</v>
      </c>
      <c r="C399" s="133">
        <f t="shared" si="142"/>
        <v>16.757999999999999</v>
      </c>
      <c r="G399" s="160"/>
      <c r="H399" s="99">
        <f>$C399*HLOOKUP($F$396,$C$370:$H$392,COUNTA($F399:G399)+1+2)</f>
        <v>1.6758</v>
      </c>
      <c r="I399" s="99">
        <f>$C399*HLOOKUP($F$396,$C$370:$H$392,COUNTA($F399:H399)+1+2)</f>
        <v>3.0164399999999998</v>
      </c>
      <c r="J399" s="99">
        <f>$C399*HLOOKUP($F$396,$C$370:$H$392,COUNTA($F399:I399)+1+2)</f>
        <v>2.4131519999999997</v>
      </c>
      <c r="K399" s="99">
        <f>$C399*HLOOKUP($F$396,$C$370:$H$392,COUNTA($F399:J399)+1+2)</f>
        <v>1.9305215999999998</v>
      </c>
    </row>
    <row r="400" spans="2:11" ht="13.5" customHeight="1" outlineLevel="1">
      <c r="B400" s="158">
        <f t="shared" si="142"/>
        <v>46022</v>
      </c>
      <c r="C400" s="133">
        <f t="shared" si="142"/>
        <v>17.5959</v>
      </c>
      <c r="G400" s="160"/>
      <c r="H400" s="160"/>
      <c r="I400" s="99">
        <f>$C400*HLOOKUP($F$396,$C$370:$H$392,COUNTA($F400:H400)+1+2)</f>
        <v>1.7595900000000002</v>
      </c>
      <c r="J400" s="99">
        <f>$C400*HLOOKUP($F$396,$C$370:$H$392,COUNTA($F400:I400)+1+2)</f>
        <v>3.167262</v>
      </c>
      <c r="K400" s="99">
        <f>$C400*HLOOKUP($F$396,$C$370:$H$392,COUNTA($F400:J400)+1+2)</f>
        <v>2.5338095999999997</v>
      </c>
    </row>
    <row r="401" spans="1:11" ht="13.5" customHeight="1" outlineLevel="1">
      <c r="B401" s="158">
        <f t="shared" si="142"/>
        <v>46387</v>
      </c>
      <c r="C401" s="133">
        <f t="shared" si="142"/>
        <v>18.475695000000002</v>
      </c>
      <c r="G401" s="160"/>
      <c r="H401" s="160"/>
      <c r="I401" s="160"/>
      <c r="J401" s="99">
        <f>$C401*HLOOKUP($F$396,$C$370:$H$392,COUNTA($F401:I401)+1+2)</f>
        <v>1.8475695000000003</v>
      </c>
      <c r="K401" s="99">
        <f>$C401*HLOOKUP($F$396,$C$370:$H$392,COUNTA($F401:J401)+1+2)</f>
        <v>3.3256251000000003</v>
      </c>
    </row>
    <row r="402" spans="1:11" ht="13.5" customHeight="1" outlineLevel="1">
      <c r="B402" s="158">
        <f t="shared" si="142"/>
        <v>46752</v>
      </c>
      <c r="C402" s="133">
        <f t="shared" si="142"/>
        <v>19.399479750000001</v>
      </c>
      <c r="G402" s="160"/>
      <c r="H402" s="160"/>
      <c r="I402" s="160"/>
      <c r="J402" s="160"/>
      <c r="K402" s="99">
        <f>$C402*HLOOKUP($F$396,$C$370:$H$392,COUNTA($F402:J402)+1+2)</f>
        <v>1.9399479750000002</v>
      </c>
    </row>
    <row r="403" spans="1:11" ht="13.5" customHeight="1" outlineLevel="1">
      <c r="B403" s="61" t="s">
        <v>288</v>
      </c>
      <c r="C403" s="61"/>
      <c r="D403" s="61"/>
      <c r="E403" s="61"/>
      <c r="F403" s="61"/>
      <c r="G403" s="167">
        <f>SUM(G398:G402)</f>
        <v>1.5960000000000001</v>
      </c>
      <c r="H403" s="167">
        <f t="shared" ref="H403:K403" si="143">SUM(H398:H402)</f>
        <v>4.5486000000000004</v>
      </c>
      <c r="I403" s="167">
        <f t="shared" si="143"/>
        <v>7.0742699999999994</v>
      </c>
      <c r="J403" s="167">
        <f t="shared" si="143"/>
        <v>9.2665755000000001</v>
      </c>
      <c r="K403" s="167">
        <f t="shared" si="143"/>
        <v>11.201416275000001</v>
      </c>
    </row>
    <row r="404" spans="1:11" ht="13.5" customHeight="1" outlineLevel="1"/>
    <row r="405" spans="1:11" ht="13.5" customHeight="1" outlineLevel="1">
      <c r="B405" s="82" t="s">
        <v>206</v>
      </c>
      <c r="C405" s="83"/>
      <c r="D405" s="84"/>
      <c r="E405" s="84"/>
      <c r="F405" s="84"/>
      <c r="G405" s="84"/>
      <c r="H405" s="84"/>
      <c r="I405" s="84"/>
      <c r="J405" s="84"/>
      <c r="K405" s="85"/>
    </row>
    <row r="406" spans="1:11" ht="13.5" customHeight="1" outlineLevel="1">
      <c r="B406" s="72"/>
      <c r="C406" s="55"/>
      <c r="D406" s="55"/>
      <c r="E406" s="56"/>
      <c r="F406" s="56"/>
    </row>
    <row r="407" spans="1:11" ht="13.5" customHeight="1" outlineLevel="1">
      <c r="B407" s="72" t="s">
        <v>291</v>
      </c>
      <c r="C407" s="55"/>
      <c r="D407" s="55"/>
      <c r="E407" s="56"/>
      <c r="F407" s="218">
        <v>0</v>
      </c>
    </row>
    <row r="408" spans="1:11" ht="13.5" customHeight="1" outlineLevel="1"/>
    <row r="409" spans="1:11" ht="13.5" customHeight="1" outlineLevel="1">
      <c r="B409" s="72" t="s">
        <v>183</v>
      </c>
      <c r="C409" s="72"/>
      <c r="D409" s="72"/>
      <c r="E409" s="72"/>
      <c r="F409" s="72"/>
      <c r="G409" s="120">
        <f>CHOOSE($F407+1,G363,G403)</f>
        <v>0.79800000000000004</v>
      </c>
      <c r="H409" s="120">
        <f t="shared" ref="H409:K409" si="144">CHOOSE($F407+1,H363,H403)</f>
        <v>2.4339</v>
      </c>
      <c r="I409" s="120">
        <f t="shared" si="144"/>
        <v>4.1515949999999995</v>
      </c>
      <c r="J409" s="120">
        <f t="shared" si="144"/>
        <v>5.9551747500000003</v>
      </c>
      <c r="K409" s="120">
        <f t="shared" si="144"/>
        <v>7.848933487500001</v>
      </c>
    </row>
    <row r="410" spans="1:11" ht="13.5" customHeight="1" outlineLevel="1">
      <c r="B410" s="72" t="s">
        <v>281</v>
      </c>
      <c r="C410" s="119"/>
      <c r="D410" s="119"/>
      <c r="F410" s="119"/>
      <c r="G410" s="205">
        <f>G364</f>
        <v>13.902000000000001</v>
      </c>
      <c r="H410" s="205">
        <f t="shared" ref="H410:K410" si="145">H364</f>
        <v>13.001100000000001</v>
      </c>
      <c r="I410" s="205">
        <f t="shared" si="145"/>
        <v>12.055154999999999</v>
      </c>
      <c r="J410" s="205">
        <f t="shared" si="145"/>
        <v>11.061912749999998</v>
      </c>
      <c r="K410" s="205">
        <f t="shared" si="145"/>
        <v>10.019008387499998</v>
      </c>
    </row>
    <row r="411" spans="1:11" ht="13.5" customHeight="1" outlineLevel="1">
      <c r="B411" s="161" t="s">
        <v>283</v>
      </c>
      <c r="C411" s="161"/>
      <c r="D411" s="161"/>
      <c r="E411" s="161"/>
      <c r="F411" s="161"/>
      <c r="G411" s="162">
        <f t="shared" ref="G411:K411" si="146">SUM(G409:G410)</f>
        <v>14.700000000000001</v>
      </c>
      <c r="H411" s="162">
        <f t="shared" si="146"/>
        <v>15.435</v>
      </c>
      <c r="I411" s="162">
        <f t="shared" si="146"/>
        <v>16.20675</v>
      </c>
      <c r="J411" s="162">
        <f t="shared" si="146"/>
        <v>17.017087499999999</v>
      </c>
      <c r="K411" s="162">
        <f t="shared" si="146"/>
        <v>17.867941875</v>
      </c>
    </row>
    <row r="412" spans="1:11" ht="5.0999999999999996" customHeight="1" outlineLevel="1" thickBot="1">
      <c r="B412" s="127"/>
      <c r="C412" s="127"/>
      <c r="D412" s="127"/>
      <c r="E412" s="90"/>
      <c r="F412" s="90"/>
      <c r="G412" s="90"/>
      <c r="H412" s="90"/>
      <c r="I412" s="90"/>
      <c r="J412" s="90"/>
      <c r="K412" s="90"/>
    </row>
    <row r="413" spans="1:11" ht="13.5" customHeight="1" outlineLevel="1"/>
    <row r="414" spans="1:11" ht="13.5" customHeight="1" outlineLevel="1" thickBot="1"/>
    <row r="415" spans="1:11" ht="20.7" thickTop="1">
      <c r="A415" s="41" t="s">
        <v>286</v>
      </c>
      <c r="B415" s="42" t="s">
        <v>163</v>
      </c>
      <c r="C415" s="43"/>
      <c r="D415" s="44"/>
      <c r="E415" s="44"/>
      <c r="F415" s="44"/>
      <c r="G415" s="44"/>
      <c r="H415" s="44"/>
      <c r="I415" s="44"/>
      <c r="J415" s="44"/>
      <c r="K415" s="44"/>
    </row>
    <row r="416" spans="1:11" ht="5.0999999999999996" customHeight="1" outlineLevel="1">
      <c r="B416" s="45"/>
      <c r="C416" s="46"/>
    </row>
    <row r="417" spans="2:11" ht="13.5" customHeight="1" outlineLevel="1">
      <c r="B417" s="47"/>
      <c r="C417" s="47"/>
      <c r="D417" s="47"/>
      <c r="E417" s="48"/>
      <c r="F417" s="49" t="s">
        <v>285</v>
      </c>
      <c r="G417" s="50" t="s">
        <v>284</v>
      </c>
      <c r="H417" s="50"/>
      <c r="I417" s="50"/>
      <c r="J417" s="50"/>
      <c r="K417" s="50"/>
    </row>
    <row r="418" spans="2:11" ht="13.5" customHeight="1" outlineLevel="1" thickBot="1">
      <c r="B418" s="51" t="s">
        <v>9</v>
      </c>
      <c r="C418" s="52"/>
      <c r="D418" s="52"/>
      <c r="E418" s="53"/>
      <c r="F418" s="54">
        <f t="shared" ref="F418:K418" si="147">F$8</f>
        <v>44926</v>
      </c>
      <c r="G418" s="54">
        <f t="shared" si="147"/>
        <v>45291</v>
      </c>
      <c r="H418" s="54">
        <f t="shared" si="147"/>
        <v>45657</v>
      </c>
      <c r="I418" s="54">
        <f t="shared" si="147"/>
        <v>46022</v>
      </c>
      <c r="J418" s="54">
        <f t="shared" si="147"/>
        <v>46387</v>
      </c>
      <c r="K418" s="54">
        <f t="shared" si="147"/>
        <v>46752</v>
      </c>
    </row>
    <row r="419" spans="2:11" ht="5.0999999999999996" customHeight="1" outlineLevel="1">
      <c r="B419" s="55"/>
      <c r="C419" s="55"/>
      <c r="D419" s="55"/>
      <c r="E419" s="56"/>
      <c r="F419" s="56"/>
      <c r="G419" s="56"/>
      <c r="H419" s="56"/>
      <c r="I419" s="56"/>
      <c r="J419" s="56"/>
    </row>
    <row r="420" spans="2:11" ht="13.5" customHeight="1" outlineLevel="1">
      <c r="B420" s="34" t="s">
        <v>192</v>
      </c>
      <c r="G420" s="210">
        <v>0.38145000000000001</v>
      </c>
      <c r="H420" s="87">
        <f t="shared" ref="H420:K421" si="148">G420</f>
        <v>0.38145000000000001</v>
      </c>
      <c r="I420" s="87">
        <f t="shared" si="148"/>
        <v>0.38145000000000001</v>
      </c>
      <c r="J420" s="87">
        <f t="shared" si="148"/>
        <v>0.38145000000000001</v>
      </c>
      <c r="K420" s="87">
        <f t="shared" si="148"/>
        <v>0.38145000000000001</v>
      </c>
    </row>
    <row r="421" spans="2:11" ht="13.5" customHeight="1" outlineLevel="1">
      <c r="B421" s="34" t="s">
        <v>193</v>
      </c>
      <c r="G421" s="210">
        <v>0.03</v>
      </c>
      <c r="H421" s="87">
        <f t="shared" si="148"/>
        <v>0.03</v>
      </c>
      <c r="I421" s="87">
        <f t="shared" si="148"/>
        <v>0.03</v>
      </c>
      <c r="J421" s="87">
        <f t="shared" si="148"/>
        <v>0.03</v>
      </c>
      <c r="K421" s="87">
        <f t="shared" si="148"/>
        <v>0.03</v>
      </c>
    </row>
    <row r="422" spans="2:11" ht="13.5" customHeight="1" outlineLevel="1">
      <c r="B422" s="34" t="s">
        <v>194</v>
      </c>
      <c r="F422" s="89">
        <f>F73</f>
        <v>0.39775910364145656</v>
      </c>
      <c r="G422" s="87">
        <f t="shared" ref="G422:K422" si="149">G420*(1-G421)+G421</f>
        <v>0.40000650000000004</v>
      </c>
      <c r="H422" s="87">
        <f t="shared" si="149"/>
        <v>0.40000650000000004</v>
      </c>
      <c r="I422" s="87">
        <f t="shared" si="149"/>
        <v>0.40000650000000004</v>
      </c>
      <c r="J422" s="87">
        <f t="shared" si="149"/>
        <v>0.40000650000000004</v>
      </c>
      <c r="K422" s="87">
        <f t="shared" si="149"/>
        <v>0.40000650000000004</v>
      </c>
    </row>
    <row r="423" spans="2:11" ht="13.5" customHeight="1" outlineLevel="1"/>
    <row r="424" spans="2:11" ht="13.5" customHeight="1" outlineLevel="1">
      <c r="B424" s="82" t="s">
        <v>208</v>
      </c>
      <c r="C424" s="83"/>
      <c r="D424" s="84"/>
      <c r="E424" s="84"/>
      <c r="F424" s="84"/>
      <c r="G424" s="84"/>
      <c r="H424" s="84"/>
      <c r="I424" s="84"/>
      <c r="J424" s="84"/>
      <c r="K424" s="85"/>
    </row>
    <row r="425" spans="2:11" ht="13.5" customHeight="1" outlineLevel="1"/>
    <row r="426" spans="2:11" ht="13.5" customHeight="1" outlineLevel="1">
      <c r="B426" s="34" t="s">
        <v>48</v>
      </c>
      <c r="G426" s="168">
        <f>G14</f>
        <v>133.14000000000004</v>
      </c>
      <c r="H426" s="168">
        <f>H14</f>
        <v>139.79700000000005</v>
      </c>
      <c r="I426" s="168">
        <f>I14</f>
        <v>146.78685000000002</v>
      </c>
      <c r="J426" s="168">
        <f>J14</f>
        <v>154.1261925</v>
      </c>
      <c r="K426" s="168">
        <f>K14</f>
        <v>161.83250212500005</v>
      </c>
    </row>
    <row r="427" spans="2:11" ht="13.5" customHeight="1" outlineLevel="1">
      <c r="B427" s="34" t="s">
        <v>185</v>
      </c>
      <c r="G427" s="131">
        <f t="shared" ref="G427:K427" si="150">-G411</f>
        <v>-14.700000000000001</v>
      </c>
      <c r="H427" s="131">
        <f t="shared" si="150"/>
        <v>-15.435</v>
      </c>
      <c r="I427" s="131">
        <f t="shared" si="150"/>
        <v>-16.20675</v>
      </c>
      <c r="J427" s="131">
        <f t="shared" si="150"/>
        <v>-17.017087499999999</v>
      </c>
      <c r="K427" s="131">
        <f t="shared" si="150"/>
        <v>-17.867941875</v>
      </c>
    </row>
    <row r="428" spans="2:11" ht="13.5" customHeight="1" outlineLevel="1">
      <c r="B428" s="34" t="s">
        <v>186</v>
      </c>
      <c r="G428" s="131">
        <f>-G16</f>
        <v>-11.6</v>
      </c>
      <c r="H428" s="131">
        <f>-H16</f>
        <v>-11.6</v>
      </c>
      <c r="I428" s="131">
        <f>-I16</f>
        <v>-11.6</v>
      </c>
      <c r="J428" s="131">
        <f>-J16</f>
        <v>-2.6909999999999989</v>
      </c>
      <c r="K428" s="131">
        <f>-K16</f>
        <v>0</v>
      </c>
    </row>
    <row r="429" spans="2:11" ht="13.5" customHeight="1" outlineLevel="1">
      <c r="B429" s="34" t="s">
        <v>187</v>
      </c>
      <c r="G429" s="207">
        <v>0</v>
      </c>
      <c r="H429" s="207">
        <v>0</v>
      </c>
      <c r="I429" s="207">
        <v>0</v>
      </c>
      <c r="J429" s="207">
        <v>0</v>
      </c>
      <c r="K429" s="207">
        <v>0</v>
      </c>
    </row>
    <row r="430" spans="2:11" ht="13.5" customHeight="1" outlineLevel="1">
      <c r="B430" s="34" t="s">
        <v>188</v>
      </c>
      <c r="G430" s="131">
        <f>-G17</f>
        <v>-11.34</v>
      </c>
      <c r="H430" s="131">
        <f>-H17</f>
        <v>-11.907</v>
      </c>
      <c r="I430" s="131">
        <f>-I17</f>
        <v>-12.50235</v>
      </c>
      <c r="J430" s="131">
        <f>-J17</f>
        <v>-13.1274675</v>
      </c>
      <c r="K430" s="131">
        <f>-K17</f>
        <v>-13.783840875000001</v>
      </c>
    </row>
    <row r="431" spans="2:11" ht="13.5" customHeight="1" outlineLevel="1">
      <c r="B431" s="97" t="s">
        <v>190</v>
      </c>
      <c r="G431" s="131">
        <f ca="1">-G27</f>
        <v>-23.034443750000001</v>
      </c>
      <c r="H431" s="131">
        <f ca="1">-H27</f>
        <v>-22.564372674940291</v>
      </c>
      <c r="I431" s="131">
        <f ca="1">-I27</f>
        <v>-23.274481968675396</v>
      </c>
      <c r="J431" s="131">
        <f ca="1">-J27</f>
        <v>-24.017819239072139</v>
      </c>
      <c r="K431" s="131">
        <f ca="1">-K27</f>
        <v>-23.845334383910917</v>
      </c>
    </row>
    <row r="432" spans="2:11" ht="13.5" customHeight="1" outlineLevel="1">
      <c r="B432" s="72" t="s">
        <v>189</v>
      </c>
      <c r="G432" s="131">
        <f>-G333*(1-$F336)</f>
        <v>0</v>
      </c>
      <c r="H432" s="131">
        <f t="shared" ref="H432:K432" si="151">-H333*(1-$F336)</f>
        <v>0</v>
      </c>
      <c r="I432" s="131">
        <f t="shared" si="151"/>
        <v>0</v>
      </c>
      <c r="J432" s="131">
        <f t="shared" si="151"/>
        <v>0</v>
      </c>
      <c r="K432" s="131">
        <f t="shared" si="151"/>
        <v>0</v>
      </c>
    </row>
    <row r="433" spans="2:11" ht="13.5" customHeight="1" outlineLevel="1">
      <c r="B433" s="59" t="s">
        <v>191</v>
      </c>
      <c r="G433" s="131">
        <f>-G29</f>
        <v>0</v>
      </c>
      <c r="H433" s="131">
        <f>-H29</f>
        <v>0</v>
      </c>
      <c r="I433" s="131">
        <f>-I29</f>
        <v>0</v>
      </c>
      <c r="J433" s="131">
        <f>-J29</f>
        <v>0</v>
      </c>
      <c r="K433" s="131">
        <f>-K29</f>
        <v>0</v>
      </c>
    </row>
    <row r="434" spans="2:11" ht="13.5" customHeight="1" outlineLevel="1">
      <c r="B434" s="61" t="s">
        <v>227</v>
      </c>
      <c r="C434" s="61"/>
      <c r="D434" s="61"/>
      <c r="E434" s="61"/>
      <c r="F434" s="62"/>
      <c r="G434" s="62">
        <f t="shared" ref="G434:K434" ca="1" si="152">SUM(G426:G433)</f>
        <v>72.465556250000049</v>
      </c>
      <c r="H434" s="62">
        <f t="shared" ca="1" si="152"/>
        <v>78.290627325059774</v>
      </c>
      <c r="I434" s="62">
        <f t="shared" ca="1" si="152"/>
        <v>83.203268031324626</v>
      </c>
      <c r="J434" s="62">
        <f t="shared" ca="1" si="152"/>
        <v>97.272818260927863</v>
      </c>
      <c r="K434" s="62">
        <f t="shared" ca="1" si="152"/>
        <v>106.33538499108911</v>
      </c>
    </row>
    <row r="435" spans="2:11" ht="13.5" customHeight="1" outlineLevel="1">
      <c r="B435" s="34" t="s">
        <v>200</v>
      </c>
      <c r="C435" s="72"/>
      <c r="D435" s="72"/>
      <c r="E435" s="72"/>
      <c r="F435" s="60"/>
      <c r="G435" s="60">
        <f ca="1">G457+G473</f>
        <v>-64.2</v>
      </c>
      <c r="H435" s="60">
        <f t="shared" ref="H435:K435" ca="1" si="153">H457+H473</f>
        <v>0</v>
      </c>
      <c r="I435" s="60">
        <f t="shared" ca="1" si="153"/>
        <v>0</v>
      </c>
      <c r="J435" s="60">
        <f t="shared" ca="1" si="153"/>
        <v>0</v>
      </c>
      <c r="K435" s="60">
        <f t="shared" ca="1" si="153"/>
        <v>0</v>
      </c>
    </row>
    <row r="436" spans="2:11" ht="13.5" customHeight="1" outlineLevel="1">
      <c r="B436" s="61" t="s">
        <v>212</v>
      </c>
      <c r="C436" s="61"/>
      <c r="D436" s="61"/>
      <c r="E436" s="61"/>
      <c r="F436" s="62"/>
      <c r="G436" s="62">
        <f t="shared" ref="G436:K436" ca="1" si="154">SUM(G434:G435)</f>
        <v>8.2655562500000457</v>
      </c>
      <c r="H436" s="62">
        <f t="shared" ca="1" si="154"/>
        <v>78.290627325059774</v>
      </c>
      <c r="I436" s="62">
        <f t="shared" ca="1" si="154"/>
        <v>83.203268031324626</v>
      </c>
      <c r="J436" s="62">
        <f t="shared" ca="1" si="154"/>
        <v>97.272818260927863</v>
      </c>
      <c r="K436" s="62">
        <f t="shared" ca="1" si="154"/>
        <v>106.33538499108911</v>
      </c>
    </row>
    <row r="437" spans="2:11" ht="13.5" customHeight="1" outlineLevel="1">
      <c r="B437" s="34" t="s">
        <v>214</v>
      </c>
      <c r="F437" s="131"/>
      <c r="G437" s="131">
        <f t="shared" ref="G437:K437" ca="1" si="155">-MAX(0,G436*G421)</f>
        <v>-0.24796668750000136</v>
      </c>
      <c r="H437" s="131">
        <f t="shared" ca="1" si="155"/>
        <v>-2.348718819751793</v>
      </c>
      <c r="I437" s="131">
        <f t="shared" ca="1" si="155"/>
        <v>-2.4960980409397386</v>
      </c>
      <c r="J437" s="131">
        <f t="shared" ca="1" si="155"/>
        <v>-2.9181845478278357</v>
      </c>
      <c r="K437" s="131">
        <f t="shared" ca="1" si="155"/>
        <v>-3.1900615497326732</v>
      </c>
    </row>
    <row r="438" spans="2:11" ht="13.5" customHeight="1" outlineLevel="1">
      <c r="B438" s="61" t="s">
        <v>213</v>
      </c>
      <c r="C438" s="61"/>
      <c r="D438" s="61"/>
      <c r="E438" s="61"/>
      <c r="F438" s="167"/>
      <c r="G438" s="167">
        <f t="shared" ref="G438:K438" ca="1" si="156">SUM(G436:G437)</f>
        <v>8.017589562500044</v>
      </c>
      <c r="H438" s="167">
        <f t="shared" ca="1" si="156"/>
        <v>75.941908505307978</v>
      </c>
      <c r="I438" s="167">
        <f t="shared" ca="1" si="156"/>
        <v>80.707169990384884</v>
      </c>
      <c r="J438" s="167">
        <f t="shared" ca="1" si="156"/>
        <v>94.354633713100029</v>
      </c>
      <c r="K438" s="167">
        <f t="shared" ca="1" si="156"/>
        <v>103.14532344135644</v>
      </c>
    </row>
    <row r="439" spans="2:11" ht="13.5" customHeight="1" outlineLevel="1">
      <c r="B439" s="72"/>
      <c r="C439" s="72"/>
      <c r="D439" s="72"/>
      <c r="E439" s="72"/>
      <c r="F439" s="60"/>
      <c r="G439" s="60"/>
      <c r="H439" s="60"/>
      <c r="I439" s="60"/>
      <c r="J439" s="60"/>
      <c r="K439" s="60"/>
    </row>
    <row r="440" spans="2:11" ht="13.5" customHeight="1" outlineLevel="1">
      <c r="B440" s="34" t="s">
        <v>215</v>
      </c>
      <c r="F440" s="168"/>
      <c r="G440" s="168">
        <f ca="1">G496</f>
        <v>3.0583095386156418</v>
      </c>
      <c r="H440" s="168">
        <f t="shared" ref="H440:K440" ca="1" si="157">H496</f>
        <v>28.968040999349729</v>
      </c>
      <c r="I440" s="168">
        <f t="shared" ca="1" si="157"/>
        <v>30.785749992832315</v>
      </c>
      <c r="J440" s="168">
        <f t="shared" ca="1" si="157"/>
        <v>35.991575029862005</v>
      </c>
      <c r="K440" s="168">
        <f t="shared" ca="1" si="157"/>
        <v>39.344783626705414</v>
      </c>
    </row>
    <row r="441" spans="2:11" ht="13.5" customHeight="1" outlineLevel="1">
      <c r="B441" s="34" t="s">
        <v>216</v>
      </c>
      <c r="F441" s="131"/>
      <c r="G441" s="131">
        <f t="shared" ref="G441:K441" ca="1" si="158">-G437</f>
        <v>0.24796668750000136</v>
      </c>
      <c r="H441" s="131">
        <f t="shared" ca="1" si="158"/>
        <v>2.348718819751793</v>
      </c>
      <c r="I441" s="131">
        <f t="shared" ca="1" si="158"/>
        <v>2.4960980409397386</v>
      </c>
      <c r="J441" s="131">
        <f t="shared" ca="1" si="158"/>
        <v>2.9181845478278357</v>
      </c>
      <c r="K441" s="131">
        <f t="shared" ca="1" si="158"/>
        <v>3.1900615497326732</v>
      </c>
    </row>
    <row r="442" spans="2:11" ht="13.5" customHeight="1" outlineLevel="1">
      <c r="B442" s="63" t="s">
        <v>217</v>
      </c>
      <c r="C442" s="63"/>
      <c r="D442" s="63"/>
      <c r="E442" s="63"/>
      <c r="F442" s="64"/>
      <c r="G442" s="64">
        <f t="shared" ref="G442:K442" ca="1" si="159">SUM(G440:G441)</f>
        <v>3.3062762261156431</v>
      </c>
      <c r="H442" s="64">
        <f t="shared" ca="1" si="159"/>
        <v>31.31675981910152</v>
      </c>
      <c r="I442" s="64">
        <f t="shared" ca="1" si="159"/>
        <v>33.28184803377205</v>
      </c>
      <c r="J442" s="64">
        <f t="shared" ca="1" si="159"/>
        <v>38.90975957768984</v>
      </c>
      <c r="K442" s="64">
        <f t="shared" ca="1" si="159"/>
        <v>42.53484517643809</v>
      </c>
    </row>
    <row r="443" spans="2:11" ht="13.5" customHeight="1" outlineLevel="1">
      <c r="B443" s="34" t="s">
        <v>198</v>
      </c>
      <c r="F443" s="131"/>
      <c r="G443" s="131">
        <f t="shared" ref="G443:K443" ca="1" si="160">G444-G442</f>
        <v>25.680417300000006</v>
      </c>
      <c r="H443" s="131">
        <f t="shared" ca="1" si="160"/>
        <v>0</v>
      </c>
      <c r="I443" s="131">
        <f t="shared" ca="1" si="160"/>
        <v>0</v>
      </c>
      <c r="J443" s="131">
        <f t="shared" ca="1" si="160"/>
        <v>0</v>
      </c>
      <c r="K443" s="131">
        <f t="shared" ca="1" si="160"/>
        <v>0</v>
      </c>
    </row>
    <row r="444" spans="2:11" ht="13.5" customHeight="1" outlineLevel="1">
      <c r="B444" s="61" t="s">
        <v>197</v>
      </c>
      <c r="C444" s="61"/>
      <c r="D444" s="61"/>
      <c r="E444" s="61"/>
      <c r="F444" s="167"/>
      <c r="G444" s="167">
        <f ca="1">G31</f>
        <v>28.986693526115648</v>
      </c>
      <c r="H444" s="167">
        <f ca="1">H31</f>
        <v>31.31675981910152</v>
      </c>
      <c r="I444" s="167">
        <f ca="1">I31</f>
        <v>33.281848033772057</v>
      </c>
      <c r="J444" s="167">
        <f ca="1">J31</f>
        <v>38.909759577689847</v>
      </c>
      <c r="K444" s="167">
        <f ca="1">K31</f>
        <v>42.534845176438104</v>
      </c>
    </row>
    <row r="445" spans="2:11" ht="13.5" customHeight="1" outlineLevel="1">
      <c r="B445" s="72"/>
      <c r="C445" s="72"/>
      <c r="D445" s="72"/>
      <c r="E445" s="72"/>
      <c r="F445" s="60"/>
      <c r="G445" s="60"/>
      <c r="H445" s="60"/>
      <c r="I445" s="60"/>
      <c r="J445" s="60"/>
      <c r="K445" s="60"/>
    </row>
    <row r="446" spans="2:11" ht="13.5" customHeight="1" outlineLevel="1">
      <c r="B446" s="34" t="s">
        <v>205</v>
      </c>
      <c r="F446" s="168"/>
      <c r="G446" s="168">
        <f t="shared" ref="G446:K446" si="161">F448</f>
        <v>-15.4</v>
      </c>
      <c r="H446" s="168">
        <f t="shared" ca="1" si="161"/>
        <v>10.280417300000005</v>
      </c>
      <c r="I446" s="168">
        <f t="shared" ca="1" si="161"/>
        <v>10.280417300000005</v>
      </c>
      <c r="J446" s="168">
        <f t="shared" ca="1" si="161"/>
        <v>10.280417300000005</v>
      </c>
      <c r="K446" s="168">
        <f t="shared" ca="1" si="161"/>
        <v>10.280417300000005</v>
      </c>
    </row>
    <row r="447" spans="2:11" ht="13.5" customHeight="1" outlineLevel="1">
      <c r="B447" s="34" t="s">
        <v>204</v>
      </c>
      <c r="F447" s="131"/>
      <c r="G447" s="131">
        <f t="shared" ref="G447:K447" ca="1" si="162">G443</f>
        <v>25.680417300000006</v>
      </c>
      <c r="H447" s="131">
        <f t="shared" ca="1" si="162"/>
        <v>0</v>
      </c>
      <c r="I447" s="131">
        <f t="shared" ca="1" si="162"/>
        <v>0</v>
      </c>
      <c r="J447" s="131">
        <f t="shared" ca="1" si="162"/>
        <v>0</v>
      </c>
      <c r="K447" s="131">
        <f t="shared" ca="1" si="162"/>
        <v>0</v>
      </c>
    </row>
    <row r="448" spans="2:11" ht="13.5" customHeight="1" outlineLevel="1">
      <c r="B448" s="74" t="s">
        <v>304</v>
      </c>
      <c r="C448" s="74"/>
      <c r="D448" s="74"/>
      <c r="E448" s="74"/>
      <c r="F448" s="169">
        <f>F114</f>
        <v>-15.4</v>
      </c>
      <c r="G448" s="75">
        <f t="shared" ref="G448:K448" ca="1" si="163">SUM(G446:G447)</f>
        <v>10.280417300000005</v>
      </c>
      <c r="H448" s="75">
        <f t="shared" ca="1" si="163"/>
        <v>10.280417300000005</v>
      </c>
      <c r="I448" s="75">
        <f t="shared" ca="1" si="163"/>
        <v>10.280417300000005</v>
      </c>
      <c r="J448" s="75">
        <f t="shared" ca="1" si="163"/>
        <v>10.280417300000005</v>
      </c>
      <c r="K448" s="75">
        <f t="shared" ca="1" si="163"/>
        <v>10.280417300000005</v>
      </c>
    </row>
    <row r="449" spans="2:11" ht="13.5" customHeight="1" outlineLevel="1">
      <c r="B449" s="72"/>
      <c r="C449" s="72"/>
      <c r="D449" s="72"/>
      <c r="E449" s="72"/>
      <c r="F449" s="60"/>
      <c r="G449" s="60"/>
      <c r="H449" s="60"/>
      <c r="I449" s="60"/>
      <c r="J449" s="60"/>
      <c r="K449" s="60"/>
    </row>
    <row r="450" spans="2:11" ht="13.5" customHeight="1" outlineLevel="1">
      <c r="B450" s="82" t="s">
        <v>309</v>
      </c>
      <c r="C450" s="83"/>
      <c r="D450" s="84"/>
      <c r="E450" s="84"/>
      <c r="F450" s="84"/>
      <c r="G450" s="84"/>
      <c r="H450" s="84"/>
      <c r="I450" s="84"/>
      <c r="J450" s="84"/>
      <c r="K450" s="85"/>
    </row>
    <row r="451" spans="2:11" ht="13.5" customHeight="1" outlineLevel="1">
      <c r="B451" s="72"/>
      <c r="C451" s="72"/>
      <c r="D451" s="72"/>
      <c r="E451" s="72"/>
      <c r="F451" s="60"/>
      <c r="G451" s="60"/>
      <c r="H451" s="60"/>
      <c r="I451" s="60"/>
      <c r="J451" s="60"/>
      <c r="K451" s="60"/>
    </row>
    <row r="452" spans="2:11" ht="13.5" customHeight="1" outlineLevel="1">
      <c r="B452" s="72" t="s">
        <v>310</v>
      </c>
      <c r="C452" s="72"/>
      <c r="D452" s="72"/>
      <c r="F452" s="208">
        <v>0</v>
      </c>
      <c r="G452" s="60"/>
      <c r="H452" s="60"/>
      <c r="I452" s="60"/>
      <c r="J452" s="60"/>
      <c r="K452" s="60"/>
    </row>
    <row r="453" spans="2:11" ht="13.5" customHeight="1" outlineLevel="1">
      <c r="B453" s="34" t="s">
        <v>207</v>
      </c>
      <c r="F453" s="222">
        <v>0</v>
      </c>
      <c r="G453" s="170">
        <f>MAX(0,F453-G$3)</f>
        <v>0</v>
      </c>
      <c r="H453" s="170">
        <f t="shared" ref="H453:K453" si="164">MAX(0,G453-H$3)</f>
        <v>0</v>
      </c>
      <c r="I453" s="170">
        <f t="shared" si="164"/>
        <v>0</v>
      </c>
      <c r="J453" s="170">
        <f t="shared" si="164"/>
        <v>0</v>
      </c>
      <c r="K453" s="170">
        <f t="shared" si="164"/>
        <v>0</v>
      </c>
    </row>
    <row r="454" spans="2:11" ht="13.5" customHeight="1" outlineLevel="1">
      <c r="B454" s="72"/>
      <c r="C454" s="72"/>
      <c r="D454" s="72"/>
      <c r="E454" s="72"/>
      <c r="F454" s="60"/>
      <c r="G454" s="60"/>
      <c r="H454" s="60"/>
      <c r="I454" s="60"/>
      <c r="J454" s="60"/>
      <c r="K454" s="60"/>
    </row>
    <row r="455" spans="2:11" ht="13.5" customHeight="1" outlineLevel="1">
      <c r="B455" s="67" t="s">
        <v>311</v>
      </c>
      <c r="C455" s="72"/>
      <c r="D455" s="72"/>
      <c r="E455" s="60"/>
      <c r="F455" s="60"/>
      <c r="G455" s="60"/>
      <c r="H455" s="60"/>
      <c r="I455" s="60"/>
      <c r="J455" s="60"/>
      <c r="K455" s="60"/>
    </row>
    <row r="456" spans="2:11" ht="13.5" customHeight="1" outlineLevel="1">
      <c r="B456" s="34" t="s">
        <v>135</v>
      </c>
      <c r="F456" s="168"/>
      <c r="G456" s="168">
        <f t="shared" ref="G456" si="165">F459</f>
        <v>0</v>
      </c>
      <c r="H456" s="168">
        <f t="shared" ref="H456" ca="1" si="166">G459</f>
        <v>0</v>
      </c>
      <c r="I456" s="168">
        <f t="shared" ref="I456" ca="1" si="167">H459</f>
        <v>0</v>
      </c>
      <c r="J456" s="168">
        <f t="shared" ref="J456" ca="1" si="168">I459</f>
        <v>0</v>
      </c>
      <c r="K456" s="168">
        <f t="shared" ref="K456" ca="1" si="169">J459</f>
        <v>0</v>
      </c>
    </row>
    <row r="457" spans="2:11" ht="13.5" customHeight="1" outlineLevel="1">
      <c r="B457" s="34" t="s">
        <v>200</v>
      </c>
      <c r="F457" s="131"/>
      <c r="G457" s="131">
        <f ca="1">IF(G434&gt;0,-MIN(G434,G456,$F452+G462),0)</f>
        <v>0</v>
      </c>
      <c r="H457" s="131">
        <f t="shared" ref="H457:K457" ca="1" si="170">IF(H434&gt;0,-MIN(H434,H456,$F452+H462),0)</f>
        <v>0</v>
      </c>
      <c r="I457" s="131">
        <f t="shared" ca="1" si="170"/>
        <v>0</v>
      </c>
      <c r="J457" s="131">
        <f t="shared" ca="1" si="170"/>
        <v>0</v>
      </c>
      <c r="K457" s="131">
        <f t="shared" ca="1" si="170"/>
        <v>0</v>
      </c>
    </row>
    <row r="458" spans="2:11" ht="13.5" customHeight="1" outlineLevel="1">
      <c r="B458" s="34" t="s">
        <v>201</v>
      </c>
      <c r="F458" s="60"/>
      <c r="G458" s="60">
        <f ca="1">IF(G453&gt;0,0,-SUM(G456:G457))</f>
        <v>0</v>
      </c>
      <c r="H458" s="60">
        <f t="shared" ref="H458:K458" ca="1" si="171">IF(H453&gt;0,0,-SUM(H456:H457))</f>
        <v>0</v>
      </c>
      <c r="I458" s="60">
        <f t="shared" ca="1" si="171"/>
        <v>0</v>
      </c>
      <c r="J458" s="60">
        <f t="shared" ca="1" si="171"/>
        <v>0</v>
      </c>
      <c r="K458" s="60">
        <f t="shared" ca="1" si="171"/>
        <v>0</v>
      </c>
    </row>
    <row r="459" spans="2:11" ht="13.5" customHeight="1" outlineLevel="1">
      <c r="B459" s="61" t="s">
        <v>138</v>
      </c>
      <c r="C459" s="61"/>
      <c r="D459" s="61"/>
      <c r="E459" s="61"/>
      <c r="F459" s="223">
        <v>0</v>
      </c>
      <c r="G459" s="167">
        <f ca="1">SUM(G456:G458)</f>
        <v>0</v>
      </c>
      <c r="H459" s="167">
        <f t="shared" ref="H459:K459" ca="1" si="172">SUM(H456:H458)</f>
        <v>0</v>
      </c>
      <c r="I459" s="167">
        <f t="shared" ca="1" si="172"/>
        <v>0</v>
      </c>
      <c r="J459" s="167">
        <f t="shared" ca="1" si="172"/>
        <v>0</v>
      </c>
      <c r="K459" s="167">
        <f t="shared" ca="1" si="172"/>
        <v>0</v>
      </c>
    </row>
    <row r="460" spans="2:11" ht="13.5" customHeight="1" outlineLevel="1">
      <c r="B460" s="72"/>
      <c r="C460" s="72"/>
      <c r="D460" s="72"/>
      <c r="E460" s="72"/>
      <c r="F460" s="60"/>
      <c r="G460" s="60"/>
      <c r="H460" s="60"/>
      <c r="I460" s="60"/>
      <c r="J460" s="60"/>
      <c r="K460" s="60"/>
    </row>
    <row r="461" spans="2:11" ht="13.5" customHeight="1" outlineLevel="1">
      <c r="B461" s="67" t="s">
        <v>312</v>
      </c>
      <c r="C461" s="72"/>
      <c r="D461" s="72"/>
      <c r="E461" s="60"/>
      <c r="F461" s="60"/>
      <c r="G461" s="60"/>
      <c r="H461" s="60"/>
      <c r="I461" s="60"/>
      <c r="J461" s="60"/>
      <c r="K461" s="60"/>
    </row>
    <row r="462" spans="2:11" ht="13.5" customHeight="1" outlineLevel="1">
      <c r="B462" s="72" t="s">
        <v>135</v>
      </c>
      <c r="C462" s="72"/>
      <c r="D462" s="72"/>
      <c r="E462" s="72"/>
      <c r="F462" s="60"/>
      <c r="G462" s="168">
        <f t="shared" ref="G462" si="173">F465</f>
        <v>0</v>
      </c>
      <c r="H462" s="168">
        <f t="shared" ref="H462" ca="1" si="174">G465</f>
        <v>0</v>
      </c>
      <c r="I462" s="168">
        <f t="shared" ref="I462" ca="1" si="175">H465</f>
        <v>0</v>
      </c>
      <c r="J462" s="168">
        <f t="shared" ref="J462" ca="1" si="176">I465</f>
        <v>0</v>
      </c>
      <c r="K462" s="168">
        <f t="shared" ref="K462" ca="1" si="177">J465</f>
        <v>0</v>
      </c>
    </row>
    <row r="463" spans="2:11" ht="13.5" customHeight="1" outlineLevel="1">
      <c r="B463" s="72" t="s">
        <v>313</v>
      </c>
      <c r="C463" s="72"/>
      <c r="D463" s="72"/>
      <c r="E463" s="72"/>
      <c r="F463" s="60"/>
      <c r="G463" s="60">
        <f ca="1">IF(G459&gt;0,MAX(0,$F452+G457),0)</f>
        <v>0</v>
      </c>
      <c r="H463" s="60">
        <f t="shared" ref="H463:K463" ca="1" si="178">IF(H459&gt;0,MAX(0,$F452+H457),0)</f>
        <v>0</v>
      </c>
      <c r="I463" s="60">
        <f t="shared" ca="1" si="178"/>
        <v>0</v>
      </c>
      <c r="J463" s="60">
        <f t="shared" ca="1" si="178"/>
        <v>0</v>
      </c>
      <c r="K463" s="60">
        <f t="shared" ca="1" si="178"/>
        <v>0</v>
      </c>
    </row>
    <row r="464" spans="2:11" ht="13.5" customHeight="1" outlineLevel="1">
      <c r="B464" s="72" t="s">
        <v>314</v>
      </c>
      <c r="C464" s="72"/>
      <c r="D464" s="72"/>
      <c r="E464" s="72"/>
      <c r="F464" s="60"/>
      <c r="G464" s="60">
        <f ca="1">-MAX(0,-G457-$F452)</f>
        <v>0</v>
      </c>
      <c r="H464" s="60">
        <f t="shared" ref="H464:K464" ca="1" si="179">-MAX(0,-H457-$F452)</f>
        <v>0</v>
      </c>
      <c r="I464" s="60">
        <f t="shared" ca="1" si="179"/>
        <v>0</v>
      </c>
      <c r="J464" s="60">
        <f t="shared" ca="1" si="179"/>
        <v>0</v>
      </c>
      <c r="K464" s="60">
        <f t="shared" ca="1" si="179"/>
        <v>0</v>
      </c>
    </row>
    <row r="465" spans="2:11" ht="13.5" customHeight="1" outlineLevel="1">
      <c r="B465" s="61" t="s">
        <v>138</v>
      </c>
      <c r="C465" s="61"/>
      <c r="D465" s="61"/>
      <c r="E465" s="61"/>
      <c r="F465" s="223">
        <v>0</v>
      </c>
      <c r="G465" s="167">
        <f t="shared" ref="G465:K465" ca="1" si="180">SUM(G462:G464)</f>
        <v>0</v>
      </c>
      <c r="H465" s="167">
        <f t="shared" ca="1" si="180"/>
        <v>0</v>
      </c>
      <c r="I465" s="167">
        <f t="shared" ca="1" si="180"/>
        <v>0</v>
      </c>
      <c r="J465" s="167">
        <f t="shared" ca="1" si="180"/>
        <v>0</v>
      </c>
      <c r="K465" s="167">
        <f t="shared" ca="1" si="180"/>
        <v>0</v>
      </c>
    </row>
    <row r="466" spans="2:11" ht="13.5" customHeight="1" outlineLevel="1">
      <c r="B466" s="72"/>
      <c r="C466" s="72"/>
      <c r="D466" s="72"/>
      <c r="E466" s="72"/>
      <c r="F466" s="60"/>
      <c r="G466" s="60"/>
      <c r="H466" s="60"/>
      <c r="I466" s="60"/>
      <c r="J466" s="60"/>
      <c r="K466" s="60"/>
    </row>
    <row r="467" spans="2:11" ht="13.5" customHeight="1" outlineLevel="1">
      <c r="B467" s="82" t="s">
        <v>308</v>
      </c>
      <c r="C467" s="83"/>
      <c r="D467" s="84"/>
      <c r="E467" s="84"/>
      <c r="F467" s="84"/>
      <c r="G467" s="84"/>
      <c r="H467" s="84"/>
      <c r="I467" s="84"/>
      <c r="J467" s="84"/>
      <c r="K467" s="85"/>
    </row>
    <row r="468" spans="2:11" ht="13.5" customHeight="1" outlineLevel="1">
      <c r="B468" s="72"/>
      <c r="C468" s="72"/>
      <c r="D468" s="72"/>
      <c r="E468" s="72"/>
      <c r="F468" s="60"/>
      <c r="G468" s="60"/>
      <c r="H468" s="60"/>
      <c r="I468" s="60"/>
      <c r="J468" s="60"/>
      <c r="K468" s="60"/>
    </row>
    <row r="469" spans="2:11" ht="13.5" customHeight="1" outlineLevel="1">
      <c r="B469" s="34" t="s">
        <v>207</v>
      </c>
      <c r="F469" s="222">
        <v>15</v>
      </c>
      <c r="G469" s="170">
        <f>MAX(0,F469-G$3)</f>
        <v>14</v>
      </c>
      <c r="H469" s="170">
        <f t="shared" ref="H469:K469" si="181">MAX(0,G469-H$3)</f>
        <v>13</v>
      </c>
      <c r="I469" s="170">
        <f t="shared" si="181"/>
        <v>12</v>
      </c>
      <c r="J469" s="170">
        <f t="shared" si="181"/>
        <v>11</v>
      </c>
      <c r="K469" s="170">
        <f t="shared" si="181"/>
        <v>10</v>
      </c>
    </row>
    <row r="470" spans="2:11" ht="13.5" customHeight="1" outlineLevel="1">
      <c r="B470" s="72"/>
      <c r="C470" s="72"/>
      <c r="D470" s="72"/>
      <c r="E470" s="72"/>
      <c r="F470" s="60"/>
      <c r="G470" s="60"/>
      <c r="H470" s="60"/>
      <c r="I470" s="60"/>
      <c r="J470" s="60"/>
      <c r="K470" s="60"/>
    </row>
    <row r="471" spans="2:11" ht="13.5" customHeight="1" outlineLevel="1">
      <c r="B471" s="34" t="s">
        <v>135</v>
      </c>
      <c r="F471" s="168"/>
      <c r="G471" s="168">
        <f t="shared" ref="G471:K471" si="182">F475</f>
        <v>64.2</v>
      </c>
      <c r="H471" s="168">
        <f t="shared" ca="1" si="182"/>
        <v>0</v>
      </c>
      <c r="I471" s="168">
        <f t="shared" ca="1" si="182"/>
        <v>0</v>
      </c>
      <c r="J471" s="168">
        <f t="shared" ca="1" si="182"/>
        <v>0</v>
      </c>
      <c r="K471" s="168">
        <f t="shared" ca="1" si="182"/>
        <v>0</v>
      </c>
    </row>
    <row r="472" spans="2:11" ht="13.5" customHeight="1" outlineLevel="1">
      <c r="B472" s="34" t="s">
        <v>199</v>
      </c>
      <c r="F472" s="131"/>
      <c r="G472" s="131">
        <f ca="1">MAX(0,-G434)</f>
        <v>0</v>
      </c>
      <c r="H472" s="131">
        <f ca="1">MAX(0,-H434)</f>
        <v>0</v>
      </c>
      <c r="I472" s="131">
        <f ca="1">MAX(0,-I434)</f>
        <v>0</v>
      </c>
      <c r="J472" s="131">
        <f ca="1">MAX(0,-J434)</f>
        <v>0</v>
      </c>
      <c r="K472" s="131">
        <f ca="1">MAX(0,-K434)</f>
        <v>0</v>
      </c>
    </row>
    <row r="473" spans="2:11" ht="13.5" customHeight="1" outlineLevel="1">
      <c r="B473" s="34" t="s">
        <v>200</v>
      </c>
      <c r="F473" s="131"/>
      <c r="G473" s="131">
        <f ca="1">IF(G434+G457&gt;0,-MIN(G471+G472,G434+G457),0)</f>
        <v>-64.2</v>
      </c>
      <c r="H473" s="131">
        <f ca="1">-MAXA(0,MINA(H434,SUM(H471:H472)))</f>
        <v>0</v>
      </c>
      <c r="I473" s="131">
        <f ca="1">-MAXA(0,MINA(I434,SUM(I471:I472)))</f>
        <v>0</v>
      </c>
      <c r="J473" s="131">
        <f ca="1">-MAXA(0,MINA(J434,SUM(J471:J472)))</f>
        <v>0</v>
      </c>
      <c r="K473" s="131">
        <f ca="1">-MAXA(0,MINA(K434,SUM(K471:K472)))</f>
        <v>0</v>
      </c>
    </row>
    <row r="474" spans="2:11" ht="13.5" customHeight="1" outlineLevel="1">
      <c r="B474" s="34" t="s">
        <v>201</v>
      </c>
      <c r="F474" s="60"/>
      <c r="G474" s="60">
        <f>IF(G469&gt;0,0,-SUM(G471:G473))</f>
        <v>0</v>
      </c>
      <c r="H474" s="60">
        <f t="shared" ref="H474:K474" si="183">IF(H469&gt;0,0,-SUM(H471:H473))</f>
        <v>0</v>
      </c>
      <c r="I474" s="60">
        <f t="shared" si="183"/>
        <v>0</v>
      </c>
      <c r="J474" s="60">
        <f t="shared" si="183"/>
        <v>0</v>
      </c>
      <c r="K474" s="60">
        <f t="shared" si="183"/>
        <v>0</v>
      </c>
    </row>
    <row r="475" spans="2:11" ht="13.5" customHeight="1" outlineLevel="1">
      <c r="B475" s="61" t="s">
        <v>138</v>
      </c>
      <c r="C475" s="61"/>
      <c r="D475" s="61"/>
      <c r="E475" s="61"/>
      <c r="F475" s="223">
        <v>64.2</v>
      </c>
      <c r="G475" s="167">
        <f t="shared" ref="G475:K475" ca="1" si="184">SUM(G471:G474)</f>
        <v>0</v>
      </c>
      <c r="H475" s="167">
        <f t="shared" ca="1" si="184"/>
        <v>0</v>
      </c>
      <c r="I475" s="167">
        <f t="shared" ca="1" si="184"/>
        <v>0</v>
      </c>
      <c r="J475" s="167">
        <f t="shared" ca="1" si="184"/>
        <v>0</v>
      </c>
      <c r="K475" s="167">
        <f t="shared" ca="1" si="184"/>
        <v>0</v>
      </c>
    </row>
    <row r="476" spans="2:11" ht="13.5" customHeight="1" outlineLevel="1">
      <c r="B476" s="72"/>
      <c r="C476" s="72"/>
      <c r="D476" s="72"/>
      <c r="E476" s="72"/>
      <c r="F476" s="60"/>
      <c r="G476" s="60"/>
      <c r="H476" s="60"/>
      <c r="I476" s="60"/>
      <c r="J476" s="60"/>
      <c r="K476" s="60"/>
    </row>
    <row r="477" spans="2:11" ht="13.5" customHeight="1" outlineLevel="1">
      <c r="B477" s="82" t="s">
        <v>315</v>
      </c>
      <c r="C477" s="83"/>
      <c r="D477" s="84"/>
      <c r="E477" s="84"/>
      <c r="F477" s="84"/>
      <c r="G477" s="84"/>
      <c r="H477" s="84"/>
      <c r="I477" s="84"/>
      <c r="J477" s="84"/>
      <c r="K477" s="85"/>
    </row>
    <row r="478" spans="2:11" ht="13.5" customHeight="1" outlineLevel="1">
      <c r="B478" s="72"/>
      <c r="C478" s="72"/>
      <c r="D478" s="72"/>
      <c r="E478" s="72"/>
      <c r="F478" s="60"/>
      <c r="G478" s="60"/>
      <c r="H478" s="60"/>
      <c r="I478" s="60"/>
      <c r="J478" s="60"/>
      <c r="K478" s="60"/>
    </row>
    <row r="479" spans="2:11" ht="13.5" customHeight="1" outlineLevel="1">
      <c r="B479" s="34" t="s">
        <v>135</v>
      </c>
      <c r="F479" s="168"/>
      <c r="G479" s="168">
        <f t="shared" ref="G479:K479" si="185">F481</f>
        <v>25.680417300000006</v>
      </c>
      <c r="H479" s="168">
        <f t="shared" ca="1" si="185"/>
        <v>0</v>
      </c>
      <c r="I479" s="168">
        <f t="shared" ca="1" si="185"/>
        <v>0</v>
      </c>
      <c r="J479" s="168">
        <f t="shared" ca="1" si="185"/>
        <v>0</v>
      </c>
      <c r="K479" s="168">
        <f t="shared" ca="1" si="185"/>
        <v>0</v>
      </c>
    </row>
    <row r="480" spans="2:11" ht="13.5" customHeight="1" outlineLevel="1">
      <c r="B480" s="34" t="s">
        <v>202</v>
      </c>
      <c r="F480" s="131"/>
      <c r="G480" s="131">
        <f ca="1">SUM(G457:G458,G472:G474)*G422</f>
        <v>-25.680417300000006</v>
      </c>
      <c r="H480" s="131">
        <f t="shared" ref="H480:K480" ca="1" si="186">SUM(H457:H458,H472:H474)*H422</f>
        <v>0</v>
      </c>
      <c r="I480" s="131">
        <f t="shared" ca="1" si="186"/>
        <v>0</v>
      </c>
      <c r="J480" s="131">
        <f t="shared" ca="1" si="186"/>
        <v>0</v>
      </c>
      <c r="K480" s="131">
        <f t="shared" ca="1" si="186"/>
        <v>0</v>
      </c>
    </row>
    <row r="481" spans="2:11" ht="13.5" customHeight="1" outlineLevel="1">
      <c r="B481" s="61" t="s">
        <v>138</v>
      </c>
      <c r="C481" s="61"/>
      <c r="D481" s="61"/>
      <c r="E481" s="61"/>
      <c r="F481" s="145">
        <f>(F459+F475)*G422</f>
        <v>25.680417300000006</v>
      </c>
      <c r="G481" s="167">
        <f t="shared" ref="G481:K481" ca="1" si="187">SUM(G479:G480)</f>
        <v>0</v>
      </c>
      <c r="H481" s="167">
        <f t="shared" ca="1" si="187"/>
        <v>0</v>
      </c>
      <c r="I481" s="167">
        <f t="shared" ca="1" si="187"/>
        <v>0</v>
      </c>
      <c r="J481" s="167">
        <f t="shared" ca="1" si="187"/>
        <v>0</v>
      </c>
      <c r="K481" s="167">
        <f t="shared" ca="1" si="187"/>
        <v>0</v>
      </c>
    </row>
    <row r="482" spans="2:11" ht="13.5" customHeight="1" outlineLevel="1">
      <c r="B482" s="72"/>
      <c r="C482" s="72"/>
      <c r="D482" s="72"/>
      <c r="E482" s="72"/>
      <c r="F482" s="159"/>
      <c r="G482" s="77"/>
      <c r="H482" s="77"/>
      <c r="I482" s="77"/>
      <c r="J482" s="77"/>
      <c r="K482" s="77"/>
    </row>
    <row r="483" spans="2:11" ht="13.5" customHeight="1" outlineLevel="1">
      <c r="B483" s="82" t="s">
        <v>209</v>
      </c>
      <c r="C483" s="83"/>
      <c r="D483" s="84"/>
      <c r="E483" s="84"/>
      <c r="F483" s="84"/>
      <c r="G483" s="84"/>
      <c r="H483" s="84"/>
      <c r="I483" s="84"/>
      <c r="J483" s="84"/>
      <c r="K483" s="85"/>
    </row>
    <row r="484" spans="2:11" ht="13.5" customHeight="1" outlineLevel="1">
      <c r="B484" s="72"/>
      <c r="C484" s="72"/>
      <c r="D484" s="72"/>
      <c r="E484" s="72"/>
      <c r="F484" s="159"/>
      <c r="G484" s="77"/>
      <c r="H484" s="77"/>
      <c r="I484" s="77"/>
      <c r="J484" s="77"/>
      <c r="K484" s="77"/>
    </row>
    <row r="485" spans="2:11" ht="13.5" customHeight="1" outlineLevel="1">
      <c r="B485" s="171" t="s">
        <v>229</v>
      </c>
      <c r="C485" s="172"/>
      <c r="D485" s="172"/>
      <c r="E485" s="173"/>
      <c r="F485" s="173"/>
      <c r="G485" s="173"/>
      <c r="H485" s="173"/>
      <c r="I485" s="174"/>
      <c r="J485" s="174"/>
      <c r="K485" s="174"/>
    </row>
    <row r="486" spans="2:11" ht="13.5" customHeight="1" outlineLevel="1">
      <c r="B486" s="55"/>
      <c r="C486" s="55"/>
      <c r="D486" s="55"/>
      <c r="E486" s="56"/>
      <c r="F486" s="56"/>
      <c r="G486" s="56"/>
      <c r="H486" s="56"/>
      <c r="I486" s="77"/>
      <c r="J486" s="77"/>
      <c r="K486" s="77"/>
    </row>
    <row r="487" spans="2:11" ht="13.5" customHeight="1" outlineLevel="1">
      <c r="B487" s="34" t="s">
        <v>228</v>
      </c>
      <c r="F487" s="87"/>
      <c r="G487" s="224">
        <v>0.2</v>
      </c>
      <c r="H487" s="87">
        <f t="shared" ref="H487:K488" si="188">G487</f>
        <v>0.2</v>
      </c>
      <c r="I487" s="87">
        <f t="shared" si="188"/>
        <v>0.2</v>
      </c>
      <c r="J487" s="87">
        <f t="shared" si="188"/>
        <v>0.2</v>
      </c>
      <c r="K487" s="87">
        <f t="shared" si="188"/>
        <v>0.2</v>
      </c>
    </row>
    <row r="488" spans="2:11" ht="13.5" customHeight="1" outlineLevel="1">
      <c r="B488" s="34" t="s">
        <v>210</v>
      </c>
      <c r="F488" s="87"/>
      <c r="G488" s="224">
        <v>0.9</v>
      </c>
      <c r="H488" s="87">
        <f t="shared" si="188"/>
        <v>0.9</v>
      </c>
      <c r="I488" s="87">
        <f t="shared" si="188"/>
        <v>0.9</v>
      </c>
      <c r="J488" s="87">
        <f t="shared" si="188"/>
        <v>0.9</v>
      </c>
      <c r="K488" s="87">
        <f t="shared" si="188"/>
        <v>0.9</v>
      </c>
    </row>
    <row r="489" spans="2:11" ht="13.5" customHeight="1" outlineLevel="1">
      <c r="B489" s="34" t="s">
        <v>211</v>
      </c>
      <c r="F489" s="87"/>
      <c r="G489" s="87">
        <f t="shared" ref="G489:K489" si="189">G487*(1-G488)</f>
        <v>1.9999999999999997E-2</v>
      </c>
      <c r="H489" s="87">
        <f t="shared" si="189"/>
        <v>1.9999999999999997E-2</v>
      </c>
      <c r="I489" s="87">
        <f t="shared" si="189"/>
        <v>1.9999999999999997E-2</v>
      </c>
      <c r="J489" s="87">
        <f t="shared" si="189"/>
        <v>1.9999999999999997E-2</v>
      </c>
      <c r="K489" s="87">
        <f t="shared" si="189"/>
        <v>1.9999999999999997E-2</v>
      </c>
    </row>
    <row r="490" spans="2:11" ht="13.5" customHeight="1" outlineLevel="1">
      <c r="B490" s="72"/>
      <c r="C490" s="72"/>
      <c r="D490" s="72"/>
      <c r="E490" s="72"/>
      <c r="F490" s="159"/>
      <c r="G490" s="77"/>
      <c r="H490" s="77"/>
      <c r="I490" s="77"/>
      <c r="J490" s="77"/>
      <c r="K490" s="77"/>
    </row>
    <row r="491" spans="2:11" ht="13.5" customHeight="1" outlineLevel="1">
      <c r="B491" s="34" t="s">
        <v>226</v>
      </c>
      <c r="F491" s="168"/>
      <c r="G491" s="168">
        <f ca="1">MAX(0,G438*G420)</f>
        <v>3.0583095386156418</v>
      </c>
      <c r="H491" s="168">
        <f ca="1">MAX(0,H438*H420)</f>
        <v>28.968040999349729</v>
      </c>
      <c r="I491" s="168">
        <f ca="1">MAX(0,I438*I420)</f>
        <v>30.785749992832315</v>
      </c>
      <c r="J491" s="168">
        <f ca="1">MAX(0,J438*J420)</f>
        <v>35.991575029862005</v>
      </c>
      <c r="K491" s="168">
        <f ca="1">MAX(0,K438*K420)</f>
        <v>39.344783626705414</v>
      </c>
    </row>
    <row r="492" spans="2:11" ht="13.5" customHeight="1" outlineLevel="1">
      <c r="B492" s="34" t="s">
        <v>218</v>
      </c>
      <c r="F492" s="131"/>
      <c r="G492" s="131">
        <f ca="1">MAX(0,(G434+G437)*G489)</f>
        <v>1.4443517912500008</v>
      </c>
      <c r="H492" s="131">
        <f ca="1">MAX(0,(H434+H437)*H489)</f>
        <v>1.5188381701061593</v>
      </c>
      <c r="I492" s="131">
        <f ca="1">MAX(0,(I434+I437)*I489)</f>
        <v>1.6141433998076975</v>
      </c>
      <c r="J492" s="131">
        <f ca="1">MAX(0,(J434+J437)*J489)</f>
        <v>1.8870926742620002</v>
      </c>
      <c r="K492" s="131">
        <f ca="1">MAX(0,(K434+K437)*K489)</f>
        <v>2.0629064688271286</v>
      </c>
    </row>
    <row r="493" spans="2:11" ht="13.5" customHeight="1" outlineLevel="1">
      <c r="F493" s="131"/>
      <c r="G493" s="131"/>
      <c r="H493" s="131"/>
      <c r="I493" s="131"/>
      <c r="J493" s="131"/>
      <c r="K493" s="131"/>
    </row>
    <row r="494" spans="2:11" ht="13.5" customHeight="1" outlineLevel="1">
      <c r="B494" s="34" t="s">
        <v>219</v>
      </c>
      <c r="F494" s="168"/>
      <c r="G494" s="168">
        <f t="shared" ref="G494:K494" ca="1" si="190">MAX(G491,G492)</f>
        <v>3.0583095386156418</v>
      </c>
      <c r="H494" s="168">
        <f t="shared" ca="1" si="190"/>
        <v>28.968040999349729</v>
      </c>
      <c r="I494" s="168">
        <f t="shared" ca="1" si="190"/>
        <v>30.785749992832315</v>
      </c>
      <c r="J494" s="168">
        <f t="shared" ca="1" si="190"/>
        <v>35.991575029862005</v>
      </c>
      <c r="K494" s="168">
        <f t="shared" ca="1" si="190"/>
        <v>39.344783626705414</v>
      </c>
    </row>
    <row r="495" spans="2:11" ht="13.5" customHeight="1" outlineLevel="1">
      <c r="B495" s="34" t="s">
        <v>220</v>
      </c>
      <c r="F495" s="131"/>
      <c r="G495" s="131">
        <f t="shared" ref="G495:K495" ca="1" si="191">G502</f>
        <v>0</v>
      </c>
      <c r="H495" s="131">
        <f t="shared" ca="1" si="191"/>
        <v>0</v>
      </c>
      <c r="I495" s="131">
        <f t="shared" ca="1" si="191"/>
        <v>0</v>
      </c>
      <c r="J495" s="131">
        <f t="shared" ca="1" si="191"/>
        <v>0</v>
      </c>
      <c r="K495" s="131">
        <f t="shared" ca="1" si="191"/>
        <v>0</v>
      </c>
    </row>
    <row r="496" spans="2:11" ht="13.5" customHeight="1" outlineLevel="1">
      <c r="B496" s="61" t="s">
        <v>215</v>
      </c>
      <c r="C496" s="61"/>
      <c r="D496" s="61"/>
      <c r="E496" s="61"/>
      <c r="F496" s="167"/>
      <c r="G496" s="167">
        <f t="shared" ref="G496:K496" ca="1" si="192">SUM(G494:G495)</f>
        <v>3.0583095386156418</v>
      </c>
      <c r="H496" s="167">
        <f t="shared" ca="1" si="192"/>
        <v>28.968040999349729</v>
      </c>
      <c r="I496" s="167">
        <f t="shared" ca="1" si="192"/>
        <v>30.785749992832315</v>
      </c>
      <c r="J496" s="167">
        <f t="shared" ca="1" si="192"/>
        <v>35.991575029862005</v>
      </c>
      <c r="K496" s="167">
        <f t="shared" ca="1" si="192"/>
        <v>39.344783626705414</v>
      </c>
    </row>
    <row r="497" spans="1:11" ht="13.5" customHeight="1" outlineLevel="1">
      <c r="B497" s="38" t="s">
        <v>221</v>
      </c>
      <c r="F497" s="87"/>
      <c r="G497" s="87">
        <f ca="1">G496/(G434+G437)</f>
        <v>4.2348540807622161E-2</v>
      </c>
      <c r="H497" s="87">
        <f ca="1">H496/(H434+H437)</f>
        <v>0.38145000000000001</v>
      </c>
      <c r="I497" s="87">
        <f ca="1">I496/(I434+I437)</f>
        <v>0.38145000000000001</v>
      </c>
      <c r="J497" s="87">
        <f ca="1">J496/(J434+J437)</f>
        <v>0.38145000000000001</v>
      </c>
      <c r="K497" s="87">
        <f ca="1">K496/(K434+K437)</f>
        <v>0.38145000000000001</v>
      </c>
    </row>
    <row r="498" spans="1:11" ht="13.5" customHeight="1" outlineLevel="1">
      <c r="F498" s="131"/>
      <c r="G498" s="131"/>
      <c r="H498" s="131"/>
      <c r="I498" s="131"/>
      <c r="J498" s="131"/>
      <c r="K498" s="131"/>
    </row>
    <row r="499" spans="1:11" ht="13.5" customHeight="1" outlineLevel="1">
      <c r="B499" s="175" t="s">
        <v>222</v>
      </c>
      <c r="F499" s="131"/>
      <c r="G499" s="131"/>
      <c r="H499" s="131"/>
      <c r="I499" s="131"/>
      <c r="J499" s="131"/>
      <c r="K499" s="131"/>
    </row>
    <row r="500" spans="1:11" ht="13.5" customHeight="1" outlineLevel="1">
      <c r="B500" s="34" t="s">
        <v>223</v>
      </c>
      <c r="F500" s="168"/>
      <c r="G500" s="168">
        <f t="shared" ref="G500:K500" si="193">F503</f>
        <v>0</v>
      </c>
      <c r="H500" s="168">
        <f t="shared" ca="1" si="193"/>
        <v>0</v>
      </c>
      <c r="I500" s="168">
        <f t="shared" ca="1" si="193"/>
        <v>0</v>
      </c>
      <c r="J500" s="168">
        <f t="shared" ca="1" si="193"/>
        <v>0</v>
      </c>
      <c r="K500" s="168">
        <f t="shared" ca="1" si="193"/>
        <v>0</v>
      </c>
    </row>
    <row r="501" spans="1:11" ht="13.5" customHeight="1" outlineLevel="1">
      <c r="B501" s="34" t="s">
        <v>225</v>
      </c>
      <c r="F501" s="131"/>
      <c r="G501" s="131">
        <f t="shared" ref="G501:K501" ca="1" si="194">IF(G492&gt;G491,G496,0)</f>
        <v>0</v>
      </c>
      <c r="H501" s="131">
        <f t="shared" ca="1" si="194"/>
        <v>0</v>
      </c>
      <c r="I501" s="131">
        <f t="shared" ca="1" si="194"/>
        <v>0</v>
      </c>
      <c r="J501" s="131">
        <f t="shared" ca="1" si="194"/>
        <v>0</v>
      </c>
      <c r="K501" s="131">
        <f t="shared" ca="1" si="194"/>
        <v>0</v>
      </c>
    </row>
    <row r="502" spans="1:11" ht="13.5" customHeight="1" outlineLevel="1">
      <c r="B502" s="34" t="s">
        <v>220</v>
      </c>
      <c r="F502" s="131"/>
      <c r="G502" s="131">
        <f t="shared" ref="G502:K502" ca="1" si="195">IF(G491&gt;G492,-MIN(G500,G494-G492),0)</f>
        <v>0</v>
      </c>
      <c r="H502" s="131">
        <f t="shared" ca="1" si="195"/>
        <v>0</v>
      </c>
      <c r="I502" s="131">
        <f t="shared" ca="1" si="195"/>
        <v>0</v>
      </c>
      <c r="J502" s="131">
        <f t="shared" ca="1" si="195"/>
        <v>0</v>
      </c>
      <c r="K502" s="131">
        <f t="shared" ca="1" si="195"/>
        <v>0</v>
      </c>
    </row>
    <row r="503" spans="1:11" ht="13.5" customHeight="1" outlineLevel="1">
      <c r="B503" s="61" t="s">
        <v>224</v>
      </c>
      <c r="C503" s="61"/>
      <c r="D503" s="61"/>
      <c r="E503" s="61"/>
      <c r="F503" s="223">
        <v>0</v>
      </c>
      <c r="G503" s="167">
        <f t="shared" ref="G503:K503" ca="1" si="196">SUM(G500:G502)</f>
        <v>0</v>
      </c>
      <c r="H503" s="167">
        <f t="shared" ca="1" si="196"/>
        <v>0</v>
      </c>
      <c r="I503" s="167">
        <f t="shared" ca="1" si="196"/>
        <v>0</v>
      </c>
      <c r="J503" s="167">
        <f t="shared" ca="1" si="196"/>
        <v>0</v>
      </c>
      <c r="K503" s="167">
        <f t="shared" ca="1" si="196"/>
        <v>0</v>
      </c>
    </row>
    <row r="504" spans="1:11" ht="5.0999999999999996" customHeight="1" outlineLevel="1" thickBot="1">
      <c r="B504" s="127"/>
      <c r="C504" s="127"/>
      <c r="D504" s="127"/>
      <c r="E504" s="90"/>
      <c r="F504" s="90"/>
      <c r="G504" s="90"/>
      <c r="H504" s="90"/>
      <c r="I504" s="90"/>
      <c r="J504" s="90"/>
      <c r="K504" s="90"/>
    </row>
    <row r="505" spans="1:11" ht="13.5" customHeight="1" outlineLevel="1"/>
    <row r="506" spans="1:11" ht="13.5" customHeight="1" outlineLevel="1" thickBot="1"/>
    <row r="507" spans="1:11" ht="20.7" thickTop="1">
      <c r="A507" s="41" t="s">
        <v>286</v>
      </c>
      <c r="B507" s="42" t="s">
        <v>126</v>
      </c>
      <c r="C507" s="43"/>
      <c r="D507" s="44"/>
      <c r="E507" s="44"/>
      <c r="F507" s="44"/>
      <c r="G507" s="44"/>
      <c r="H507" s="44"/>
      <c r="I507" s="44"/>
      <c r="J507" s="44"/>
      <c r="K507" s="44"/>
    </row>
    <row r="508" spans="1:11" ht="5.0999999999999996" customHeight="1" outlineLevel="1">
      <c r="B508" s="45"/>
      <c r="C508" s="46"/>
    </row>
    <row r="509" spans="1:11" ht="13.5" customHeight="1" outlineLevel="1">
      <c r="B509" s="47"/>
      <c r="C509" s="47"/>
      <c r="D509" s="47"/>
      <c r="E509" s="48"/>
      <c r="F509" s="49" t="s">
        <v>285</v>
      </c>
      <c r="G509" s="50" t="s">
        <v>284</v>
      </c>
      <c r="H509" s="50"/>
      <c r="I509" s="50"/>
      <c r="J509" s="50"/>
      <c r="K509" s="50"/>
    </row>
    <row r="510" spans="1:11" ht="13.5" customHeight="1" outlineLevel="1" thickBot="1">
      <c r="B510" s="51" t="s">
        <v>9</v>
      </c>
      <c r="C510" s="52"/>
      <c r="D510" s="52"/>
      <c r="E510" s="53"/>
      <c r="F510" s="54">
        <f t="shared" ref="F510:K510" si="197">F$8</f>
        <v>44926</v>
      </c>
      <c r="G510" s="54">
        <f t="shared" si="197"/>
        <v>45291</v>
      </c>
      <c r="H510" s="54">
        <f t="shared" si="197"/>
        <v>45657</v>
      </c>
      <c r="I510" s="54">
        <f t="shared" si="197"/>
        <v>46022</v>
      </c>
      <c r="J510" s="54">
        <f t="shared" si="197"/>
        <v>46387</v>
      </c>
      <c r="K510" s="54">
        <f t="shared" si="197"/>
        <v>46752</v>
      </c>
    </row>
    <row r="511" spans="1:11" ht="5.0999999999999996" customHeight="1" outlineLevel="1">
      <c r="B511" s="55"/>
      <c r="C511" s="55"/>
      <c r="D511" s="55"/>
      <c r="E511" s="56"/>
      <c r="F511" s="56"/>
      <c r="G511" s="56"/>
      <c r="H511" s="56"/>
      <c r="I511" s="56"/>
      <c r="J511" s="56"/>
    </row>
    <row r="512" spans="1:11" ht="13.5" customHeight="1" outlineLevel="1">
      <c r="B512" s="176" t="s">
        <v>117</v>
      </c>
      <c r="C512" s="177"/>
      <c r="D512" s="178"/>
      <c r="E512" s="178"/>
      <c r="F512" s="178"/>
      <c r="G512" s="178"/>
      <c r="H512" s="178"/>
      <c r="I512" s="178"/>
      <c r="J512" s="178"/>
      <c r="K512" s="179"/>
    </row>
    <row r="513" spans="2:8" ht="13.5" customHeight="1" outlineLevel="1">
      <c r="B513" s="180"/>
      <c r="C513" s="180"/>
      <c r="D513" s="180"/>
      <c r="E513" s="181"/>
      <c r="F513" s="181"/>
      <c r="G513" s="181"/>
      <c r="H513" s="181"/>
    </row>
    <row r="514" spans="2:8" ht="13.5" customHeight="1" outlineLevel="1">
      <c r="B514" s="34" t="s">
        <v>241</v>
      </c>
      <c r="C514" s="180"/>
      <c r="D514" s="209">
        <v>9.16</v>
      </c>
      <c r="E514" s="181"/>
      <c r="F514" s="181"/>
    </row>
    <row r="515" spans="2:8" ht="13.5" customHeight="1" outlineLevel="1">
      <c r="B515" s="180"/>
      <c r="C515" s="180"/>
      <c r="D515" s="180"/>
      <c r="E515" s="181"/>
      <c r="F515" s="181"/>
    </row>
    <row r="516" spans="2:8" ht="13.5" customHeight="1" outlineLevel="1">
      <c r="D516" s="182" t="s">
        <v>118</v>
      </c>
      <c r="E516" s="182"/>
      <c r="F516" s="182" t="s">
        <v>119</v>
      </c>
      <c r="G516" s="182"/>
      <c r="H516" s="182"/>
    </row>
    <row r="517" spans="2:8" ht="13.5" customHeight="1" outlineLevel="1">
      <c r="B517" s="183"/>
      <c r="D517" s="184" t="s">
        <v>97</v>
      </c>
      <c r="E517" s="184" t="s">
        <v>98</v>
      </c>
      <c r="F517" s="184" t="s">
        <v>97</v>
      </c>
      <c r="G517" s="184" t="s">
        <v>98</v>
      </c>
      <c r="H517" s="184" t="s">
        <v>99</v>
      </c>
    </row>
    <row r="518" spans="2:8" ht="13.5" customHeight="1" outlineLevel="1" thickBot="1">
      <c r="B518" s="185"/>
      <c r="C518" s="185"/>
      <c r="D518" s="186" t="s">
        <v>96</v>
      </c>
      <c r="E518" s="186" t="s">
        <v>100</v>
      </c>
      <c r="F518" s="186" t="s">
        <v>96</v>
      </c>
      <c r="G518" s="186" t="s">
        <v>100</v>
      </c>
      <c r="H518" s="186" t="s">
        <v>116</v>
      </c>
    </row>
    <row r="519" spans="2:8" ht="13.5" customHeight="1" outlineLevel="1">
      <c r="H519" s="181"/>
    </row>
    <row r="520" spans="2:8" ht="13.5" customHeight="1" outlineLevel="1">
      <c r="B520" s="76" t="s">
        <v>101</v>
      </c>
      <c r="D520" s="225">
        <v>0.40200000000000002</v>
      </c>
      <c r="E520" s="209">
        <v>9.1300000000000008</v>
      </c>
      <c r="F520" s="225">
        <v>0.20899999999999999</v>
      </c>
      <c r="G520" s="209">
        <v>9.0399999999999991</v>
      </c>
      <c r="H520" s="187">
        <f>IF($G520&gt;D$514,0,$F520-$F520*$G520/D$514)</f>
        <v>2.7379912663755834E-3</v>
      </c>
    </row>
    <row r="521" spans="2:8" ht="13.5" customHeight="1" outlineLevel="1">
      <c r="B521" s="76" t="s">
        <v>102</v>
      </c>
      <c r="D521" s="225">
        <v>0.12</v>
      </c>
      <c r="E521" s="222">
        <v>9.93</v>
      </c>
      <c r="F521" s="225">
        <v>5.8999999999999997E-2</v>
      </c>
      <c r="G521" s="222">
        <v>10.029999999999999</v>
      </c>
      <c r="H521" s="187">
        <f t="shared" ref="H521:H529" si="198">IF($G521&gt;D$514,0,$F521-$F521*$G521/D$514)</f>
        <v>0</v>
      </c>
    </row>
    <row r="522" spans="2:8" ht="13.5" customHeight="1" outlineLevel="1">
      <c r="B522" s="76" t="s">
        <v>103</v>
      </c>
      <c r="D522" s="225">
        <v>0.46600000000000003</v>
      </c>
      <c r="E522" s="222">
        <v>11.6</v>
      </c>
      <c r="F522" s="225">
        <v>0.221</v>
      </c>
      <c r="G522" s="222">
        <v>11.53</v>
      </c>
      <c r="H522" s="187">
        <f t="shared" si="198"/>
        <v>0</v>
      </c>
    </row>
    <row r="523" spans="2:8" ht="13.5" customHeight="1" outlineLevel="1">
      <c r="B523" s="76" t="s">
        <v>104</v>
      </c>
      <c r="D523" s="225">
        <v>0.3</v>
      </c>
      <c r="E523" s="222">
        <v>12.64</v>
      </c>
      <c r="F523" s="225">
        <v>0.3</v>
      </c>
      <c r="G523" s="222">
        <v>12.69</v>
      </c>
      <c r="H523" s="187">
        <f t="shared" si="198"/>
        <v>0</v>
      </c>
    </row>
    <row r="524" spans="2:8" ht="13.5" customHeight="1" outlineLevel="1">
      <c r="B524" s="76" t="s">
        <v>105</v>
      </c>
      <c r="D524" s="225">
        <v>0.52</v>
      </c>
      <c r="E524" s="222">
        <v>19.48</v>
      </c>
      <c r="F524" s="225">
        <v>0.26900000000000002</v>
      </c>
      <c r="G524" s="222">
        <v>19.54</v>
      </c>
      <c r="H524" s="187">
        <f t="shared" si="198"/>
        <v>0</v>
      </c>
    </row>
    <row r="525" spans="2:8" ht="13.5" customHeight="1" outlineLevel="1">
      <c r="B525" s="76" t="s">
        <v>106</v>
      </c>
      <c r="D525" s="225">
        <v>0.42199999999999999</v>
      </c>
      <c r="E525" s="222">
        <v>27.03</v>
      </c>
      <c r="F525" s="225">
        <v>0.21099999999999999</v>
      </c>
      <c r="G525" s="222">
        <v>27.06</v>
      </c>
      <c r="H525" s="187">
        <f t="shared" si="198"/>
        <v>0</v>
      </c>
    </row>
    <row r="526" spans="2:8" ht="13.5" customHeight="1" outlineLevel="1">
      <c r="B526" s="76" t="s">
        <v>107</v>
      </c>
      <c r="D526" s="225">
        <v>0.375</v>
      </c>
      <c r="E526" s="222">
        <v>45.78</v>
      </c>
      <c r="F526" s="225">
        <v>0.187</v>
      </c>
      <c r="G526" s="222">
        <v>45.75</v>
      </c>
      <c r="H526" s="187">
        <f t="shared" si="198"/>
        <v>0</v>
      </c>
    </row>
    <row r="527" spans="2:8" ht="13.5" customHeight="1" outlineLevel="1">
      <c r="B527" s="76" t="s">
        <v>108</v>
      </c>
      <c r="D527" s="225">
        <v>0</v>
      </c>
      <c r="E527" s="222">
        <v>0</v>
      </c>
      <c r="F527" s="225">
        <v>0</v>
      </c>
      <c r="G527" s="222">
        <v>0</v>
      </c>
      <c r="H527" s="187">
        <f t="shared" si="198"/>
        <v>0</v>
      </c>
    </row>
    <row r="528" spans="2:8" ht="13.5" customHeight="1" outlineLevel="1">
      <c r="B528" s="76" t="s">
        <v>109</v>
      </c>
      <c r="D528" s="225">
        <v>0</v>
      </c>
      <c r="E528" s="222">
        <v>0</v>
      </c>
      <c r="F528" s="225">
        <v>0</v>
      </c>
      <c r="G528" s="222">
        <v>0</v>
      </c>
      <c r="H528" s="187">
        <f t="shared" si="198"/>
        <v>0</v>
      </c>
    </row>
    <row r="529" spans="2:11" ht="13.5" customHeight="1" outlineLevel="1">
      <c r="B529" s="76" t="s">
        <v>110</v>
      </c>
      <c r="D529" s="225">
        <v>0</v>
      </c>
      <c r="E529" s="222">
        <v>0</v>
      </c>
      <c r="F529" s="225">
        <v>0</v>
      </c>
      <c r="G529" s="222">
        <v>0</v>
      </c>
      <c r="H529" s="187">
        <f t="shared" si="198"/>
        <v>0</v>
      </c>
    </row>
    <row r="530" spans="2:11" ht="13.5" customHeight="1" outlineLevel="1">
      <c r="B530" s="165" t="s">
        <v>123</v>
      </c>
      <c r="C530" s="165"/>
      <c r="D530" s="165"/>
      <c r="E530" s="188"/>
      <c r="F530" s="188"/>
      <c r="G530" s="188"/>
      <c r="H530" s="188">
        <f>SUM(H520:H529)</f>
        <v>2.7379912663755834E-3</v>
      </c>
    </row>
    <row r="531" spans="2:11" ht="13.5" customHeight="1" outlineLevel="1"/>
    <row r="532" spans="2:11" ht="13.5" customHeight="1" outlineLevel="1">
      <c r="B532" s="176" t="s">
        <v>120</v>
      </c>
      <c r="C532" s="177"/>
      <c r="D532" s="178"/>
      <c r="E532" s="178"/>
      <c r="F532" s="178"/>
      <c r="G532" s="178"/>
      <c r="H532" s="178"/>
      <c r="I532" s="178"/>
      <c r="J532" s="178"/>
      <c r="K532" s="179"/>
    </row>
    <row r="533" spans="2:11" ht="13.5" customHeight="1" outlineLevel="1"/>
    <row r="534" spans="2:11" ht="13.5" customHeight="1" outlineLevel="1">
      <c r="B534" s="189" t="s">
        <v>234</v>
      </c>
      <c r="C534" s="180"/>
      <c r="D534" s="180"/>
      <c r="E534" s="181"/>
      <c r="F534" s="181"/>
    </row>
    <row r="535" spans="2:11" ht="13.5" customHeight="1" outlineLevel="1">
      <c r="B535" s="76" t="str">
        <f>B322</f>
        <v>Convertible bond</v>
      </c>
      <c r="C535" s="76"/>
      <c r="D535" s="76"/>
      <c r="E535" s="190"/>
      <c r="F535" s="77">
        <f t="shared" ref="F535:K535" si="199">F262</f>
        <v>190</v>
      </c>
      <c r="G535" s="77">
        <f t="shared" si="199"/>
        <v>199.02500000000001</v>
      </c>
      <c r="H535" s="77">
        <f t="shared" si="199"/>
        <v>208.47868750000001</v>
      </c>
      <c r="I535" s="77">
        <f t="shared" si="199"/>
        <v>218.38142515625</v>
      </c>
      <c r="J535" s="77">
        <f t="shared" si="199"/>
        <v>218.38142515625</v>
      </c>
      <c r="K535" s="77">
        <f t="shared" si="199"/>
        <v>218.38142515625</v>
      </c>
    </row>
    <row r="536" spans="2:11" ht="13.5" customHeight="1" outlineLevel="1">
      <c r="B536" s="76" t="str">
        <f>B323</f>
        <v>Preferred stock</v>
      </c>
      <c r="C536" s="76"/>
      <c r="D536" s="76"/>
      <c r="E536" s="190"/>
      <c r="F536" s="77">
        <f t="shared" ref="F536:K536" si="200">F268</f>
        <v>0</v>
      </c>
      <c r="G536" s="77">
        <f t="shared" si="200"/>
        <v>0</v>
      </c>
      <c r="H536" s="77">
        <f t="shared" si="200"/>
        <v>0</v>
      </c>
      <c r="I536" s="77">
        <f t="shared" si="200"/>
        <v>0</v>
      </c>
      <c r="J536" s="77">
        <f t="shared" si="200"/>
        <v>0</v>
      </c>
      <c r="K536" s="77">
        <f t="shared" si="200"/>
        <v>0</v>
      </c>
    </row>
    <row r="537" spans="2:11" ht="13.5" customHeight="1" outlineLevel="1"/>
    <row r="538" spans="2:11" ht="13.5" customHeight="1" outlineLevel="1">
      <c r="B538" s="189" t="s">
        <v>232</v>
      </c>
      <c r="C538" s="76"/>
      <c r="D538" s="76"/>
      <c r="E538" s="190"/>
      <c r="F538" s="190"/>
      <c r="G538" s="190"/>
    </row>
    <row r="539" spans="2:11" ht="13.5" customHeight="1" outlineLevel="1">
      <c r="B539" s="76" t="str">
        <f>B535</f>
        <v>Convertible bond</v>
      </c>
      <c r="C539" s="76"/>
      <c r="D539" s="76"/>
      <c r="E539" s="190"/>
      <c r="F539" s="191">
        <f>J322</f>
        <v>26.77</v>
      </c>
      <c r="G539" s="80">
        <f>F539</f>
        <v>26.77</v>
      </c>
      <c r="H539" s="80">
        <f t="shared" ref="H539:K540" si="201">G539</f>
        <v>26.77</v>
      </c>
      <c r="I539" s="80">
        <f t="shared" si="201"/>
        <v>26.77</v>
      </c>
      <c r="J539" s="80">
        <f t="shared" si="201"/>
        <v>26.77</v>
      </c>
      <c r="K539" s="80">
        <f t="shared" si="201"/>
        <v>26.77</v>
      </c>
    </row>
    <row r="540" spans="2:11" ht="13.5" customHeight="1" outlineLevel="1">
      <c r="B540" s="76" t="str">
        <f>B536</f>
        <v>Preferred stock</v>
      </c>
      <c r="C540" s="76"/>
      <c r="D540" s="76"/>
      <c r="E540" s="190"/>
      <c r="F540" s="191">
        <f>J323</f>
        <v>0</v>
      </c>
      <c r="G540" s="80">
        <f>F540</f>
        <v>0</v>
      </c>
      <c r="H540" s="80">
        <f t="shared" si="201"/>
        <v>0</v>
      </c>
      <c r="I540" s="80">
        <f t="shared" si="201"/>
        <v>0</v>
      </c>
      <c r="J540" s="80">
        <f t="shared" si="201"/>
        <v>0</v>
      </c>
      <c r="K540" s="80">
        <f t="shared" si="201"/>
        <v>0</v>
      </c>
    </row>
    <row r="541" spans="2:11" ht="13.5" customHeight="1" outlineLevel="1"/>
    <row r="542" spans="2:11" ht="13.5" customHeight="1" outlineLevel="1">
      <c r="B542" s="189" t="s">
        <v>233</v>
      </c>
      <c r="C542" s="76"/>
      <c r="D542" s="76"/>
      <c r="E542" s="190"/>
      <c r="F542" s="190"/>
      <c r="G542" s="190"/>
    </row>
    <row r="543" spans="2:11" ht="13.5" customHeight="1" outlineLevel="1">
      <c r="B543" s="76" t="str">
        <f>B535</f>
        <v>Convertible bond</v>
      </c>
      <c r="C543" s="76"/>
      <c r="D543" s="76"/>
      <c r="E543" s="190"/>
      <c r="F543" s="187">
        <f t="shared" ref="F543:K544" si="202">IFERROR(F535/F539,0)</f>
        <v>7.0974971983563693</v>
      </c>
      <c r="G543" s="187">
        <f t="shared" si="202"/>
        <v>7.4346283152782968</v>
      </c>
      <c r="H543" s="187">
        <f t="shared" si="202"/>
        <v>7.7877731602540159</v>
      </c>
      <c r="I543" s="187">
        <f t="shared" si="202"/>
        <v>8.1576923853660812</v>
      </c>
      <c r="J543" s="187">
        <f t="shared" si="202"/>
        <v>8.1576923853660812</v>
      </c>
      <c r="K543" s="187">
        <f t="shared" si="202"/>
        <v>8.1576923853660812</v>
      </c>
    </row>
    <row r="544" spans="2:11" ht="13.5" customHeight="1" outlineLevel="1">
      <c r="B544" s="76" t="str">
        <f>B536</f>
        <v>Preferred stock</v>
      </c>
      <c r="C544" s="76"/>
      <c r="D544" s="76"/>
      <c r="E544" s="190"/>
      <c r="F544" s="187">
        <f t="shared" si="202"/>
        <v>0</v>
      </c>
      <c r="G544" s="187">
        <f t="shared" si="202"/>
        <v>0</v>
      </c>
      <c r="H544" s="187">
        <f t="shared" si="202"/>
        <v>0</v>
      </c>
      <c r="I544" s="187">
        <f t="shared" si="202"/>
        <v>0</v>
      </c>
      <c r="J544" s="187">
        <f t="shared" si="202"/>
        <v>0</v>
      </c>
      <c r="K544" s="187">
        <f t="shared" si="202"/>
        <v>0</v>
      </c>
    </row>
    <row r="545" spans="2:11" ht="13.5" customHeight="1" outlineLevel="1"/>
    <row r="546" spans="2:11" ht="13.5" customHeight="1" outlineLevel="1">
      <c r="B546" s="189" t="s">
        <v>235</v>
      </c>
      <c r="C546" s="76"/>
      <c r="D546" s="76"/>
      <c r="E546" s="190"/>
      <c r="F546" s="192"/>
    </row>
    <row r="547" spans="2:11" ht="13.5" customHeight="1" outlineLevel="1">
      <c r="B547" s="76" t="str">
        <f>B535</f>
        <v>Convertible bond</v>
      </c>
      <c r="C547" s="76"/>
      <c r="D547" s="76"/>
      <c r="E547" s="190"/>
      <c r="F547" s="192">
        <f t="shared" ref="F547:K548" si="203">(F$35+F294*(1-F$73*(1-$H322)))/(F$558+F543)</f>
        <v>1.2694068155687124</v>
      </c>
      <c r="G547" s="192">
        <f t="shared" ca="1" si="203"/>
        <v>1.2696485635969006</v>
      </c>
      <c r="H547" s="192">
        <f t="shared" ca="1" si="203"/>
        <v>1.3522184275854516</v>
      </c>
      <c r="I547" s="192">
        <f t="shared" ca="1" si="203"/>
        <v>1.4208702361014427</v>
      </c>
      <c r="J547" s="192">
        <f t="shared" ca="1" si="203"/>
        <v>1.6279177396186892</v>
      </c>
      <c r="K547" s="192">
        <f t="shared" ca="1" si="203"/>
        <v>1.7529239372633798</v>
      </c>
    </row>
    <row r="548" spans="2:11" ht="13.5" customHeight="1" outlineLevel="1">
      <c r="B548" s="76" t="str">
        <f>B536</f>
        <v>Preferred stock</v>
      </c>
      <c r="C548" s="76"/>
      <c r="D548" s="76"/>
      <c r="E548" s="190"/>
      <c r="F548" s="192">
        <f t="shared" si="203"/>
        <v>1.2167515563101303</v>
      </c>
      <c r="G548" s="192">
        <f t="shared" ca="1" si="203"/>
        <v>1.2303017182762988</v>
      </c>
      <c r="H548" s="192">
        <f t="shared" ca="1" si="203"/>
        <v>1.3291982882274542</v>
      </c>
      <c r="I548" s="192">
        <f t="shared" ca="1" si="203"/>
        <v>1.4126038482612497</v>
      </c>
      <c r="J548" s="192">
        <f t="shared" ca="1" si="203"/>
        <v>1.6514730810197513</v>
      </c>
      <c r="K548" s="192">
        <f t="shared" ca="1" si="203"/>
        <v>1.8053350258814667</v>
      </c>
    </row>
    <row r="549" spans="2:11" ht="13.5" customHeight="1" outlineLevel="1"/>
    <row r="550" spans="2:11" ht="13.5" customHeight="1" outlineLevel="1">
      <c r="B550" s="76" t="s">
        <v>230</v>
      </c>
      <c r="C550" s="76"/>
      <c r="D550" s="76"/>
      <c r="E550" s="190"/>
      <c r="F550" s="192">
        <f t="shared" ref="F550:K550" si="204">F$35/F$558</f>
        <v>1.2167515563101303</v>
      </c>
      <c r="G550" s="192">
        <f t="shared" ca="1" si="204"/>
        <v>1.2303017182762988</v>
      </c>
      <c r="H550" s="192">
        <f t="shared" ca="1" si="204"/>
        <v>1.3291982882274542</v>
      </c>
      <c r="I550" s="192">
        <f t="shared" ca="1" si="204"/>
        <v>1.4126038482612497</v>
      </c>
      <c r="J550" s="192">
        <f t="shared" ca="1" si="204"/>
        <v>1.6514730810197513</v>
      </c>
      <c r="K550" s="192">
        <f t="shared" ca="1" si="204"/>
        <v>1.8053350258814667</v>
      </c>
    </row>
    <row r="551" spans="2:11" ht="13.5" customHeight="1" outlineLevel="1"/>
    <row r="552" spans="2:11" ht="13.5" customHeight="1" outlineLevel="1">
      <c r="B552" s="189" t="s">
        <v>231</v>
      </c>
      <c r="C552" s="76"/>
      <c r="D552" s="76"/>
      <c r="E552" s="190"/>
      <c r="F552" s="76"/>
    </row>
    <row r="553" spans="2:11" ht="13.5" customHeight="1" outlineLevel="1">
      <c r="B553" s="76" t="str">
        <f>B535</f>
        <v>Convertible bond</v>
      </c>
      <c r="C553" s="180"/>
      <c r="D553" s="180"/>
      <c r="E553" s="181"/>
      <c r="F553" s="193">
        <f>(F547&lt;F$550)*1</f>
        <v>0</v>
      </c>
      <c r="G553" s="193">
        <f t="shared" ref="G553:K554" ca="1" si="205">(G547&lt;G$550)*1</f>
        <v>0</v>
      </c>
      <c r="H553" s="193">
        <f t="shared" ca="1" si="205"/>
        <v>0</v>
      </c>
      <c r="I553" s="193">
        <f t="shared" ca="1" si="205"/>
        <v>0</v>
      </c>
      <c r="J553" s="193">
        <f t="shared" ca="1" si="205"/>
        <v>1</v>
      </c>
      <c r="K553" s="193">
        <f t="shared" ca="1" si="205"/>
        <v>1</v>
      </c>
    </row>
    <row r="554" spans="2:11" ht="13.5" customHeight="1" outlineLevel="1">
      <c r="B554" s="76" t="str">
        <f>B536</f>
        <v>Preferred stock</v>
      </c>
      <c r="C554" s="180"/>
      <c r="D554" s="180"/>
      <c r="E554" s="181"/>
      <c r="F554" s="193">
        <f>(F548&lt;F$550)*1</f>
        <v>0</v>
      </c>
      <c r="G554" s="193">
        <f t="shared" ca="1" si="205"/>
        <v>0</v>
      </c>
      <c r="H554" s="193">
        <f t="shared" ca="1" si="205"/>
        <v>0</v>
      </c>
      <c r="I554" s="193">
        <f t="shared" ca="1" si="205"/>
        <v>0</v>
      </c>
      <c r="J554" s="193">
        <f t="shared" ca="1" si="205"/>
        <v>0</v>
      </c>
      <c r="K554" s="193">
        <f t="shared" ca="1" si="205"/>
        <v>0</v>
      </c>
    </row>
    <row r="555" spans="2:11" ht="13.5" customHeight="1" outlineLevel="1"/>
    <row r="556" spans="2:11" ht="13.5" customHeight="1" outlineLevel="1">
      <c r="B556" s="176" t="s">
        <v>242</v>
      </c>
      <c r="C556" s="177"/>
      <c r="D556" s="178"/>
      <c r="E556" s="178"/>
      <c r="F556" s="178"/>
      <c r="G556" s="178"/>
      <c r="H556" s="178"/>
      <c r="I556" s="178"/>
      <c r="J556" s="178"/>
      <c r="K556" s="179"/>
    </row>
    <row r="557" spans="2:11" ht="13.5" customHeight="1" outlineLevel="1"/>
    <row r="558" spans="2:11" ht="13.5" customHeight="1" outlineLevel="1">
      <c r="B558" s="34" t="s">
        <v>78</v>
      </c>
      <c r="E558" s="194"/>
      <c r="F558" s="225">
        <v>35.340000000000003</v>
      </c>
      <c r="G558" s="187">
        <f>F558</f>
        <v>35.340000000000003</v>
      </c>
      <c r="H558" s="187">
        <f t="shared" ref="H558:K558" si="206">G558</f>
        <v>35.340000000000003</v>
      </c>
      <c r="I558" s="187">
        <f t="shared" si="206"/>
        <v>35.340000000000003</v>
      </c>
      <c r="J558" s="187">
        <f t="shared" si="206"/>
        <v>35.340000000000003</v>
      </c>
      <c r="K558" s="187">
        <f t="shared" si="206"/>
        <v>35.340000000000003</v>
      </c>
    </row>
    <row r="559" spans="2:11" ht="13.5" customHeight="1" outlineLevel="1">
      <c r="B559" s="34" t="s">
        <v>124</v>
      </c>
      <c r="C559" s="180"/>
      <c r="D559" s="180"/>
      <c r="E559" s="181"/>
      <c r="F559" s="187">
        <f>$H530</f>
        <v>2.7379912663755834E-3</v>
      </c>
      <c r="G559" s="187">
        <f>$H530</f>
        <v>2.7379912663755834E-3</v>
      </c>
      <c r="H559" s="187">
        <f t="shared" ref="H559:K559" si="207">$H530</f>
        <v>2.7379912663755834E-3</v>
      </c>
      <c r="I559" s="187">
        <f t="shared" si="207"/>
        <v>2.7379912663755834E-3</v>
      </c>
      <c r="J559" s="187">
        <f t="shared" si="207"/>
        <v>2.7379912663755834E-3</v>
      </c>
      <c r="K559" s="187">
        <f t="shared" si="207"/>
        <v>2.7379912663755834E-3</v>
      </c>
    </row>
    <row r="560" spans="2:11" ht="13.5" customHeight="1" outlineLevel="1">
      <c r="B560" s="34" t="str">
        <f>"( + ) Shares from "&amp;B539</f>
        <v>( + ) Shares from Convertible bond</v>
      </c>
      <c r="C560" s="180"/>
      <c r="D560" s="180"/>
      <c r="E560" s="181"/>
      <c r="F560" s="187">
        <f t="shared" ref="F560:K561" si="208">F543*F553</f>
        <v>0</v>
      </c>
      <c r="G560" s="187">
        <f t="shared" ca="1" si="208"/>
        <v>0</v>
      </c>
      <c r="H560" s="187">
        <f t="shared" ca="1" si="208"/>
        <v>0</v>
      </c>
      <c r="I560" s="187">
        <f t="shared" ca="1" si="208"/>
        <v>0</v>
      </c>
      <c r="J560" s="187">
        <f t="shared" ca="1" si="208"/>
        <v>8.1576923853660812</v>
      </c>
      <c r="K560" s="187">
        <f t="shared" ca="1" si="208"/>
        <v>8.1576923853660812</v>
      </c>
    </row>
    <row r="561" spans="1:11" ht="13.5" customHeight="1" outlineLevel="1">
      <c r="B561" s="34" t="str">
        <f>"( + ) Shares from "&amp;B540</f>
        <v>( + ) Shares from Preferred stock</v>
      </c>
      <c r="C561" s="180"/>
      <c r="D561" s="180"/>
      <c r="E561" s="181"/>
      <c r="F561" s="187">
        <f t="shared" si="208"/>
        <v>0</v>
      </c>
      <c r="G561" s="187">
        <f t="shared" ca="1" si="208"/>
        <v>0</v>
      </c>
      <c r="H561" s="187">
        <f t="shared" ca="1" si="208"/>
        <v>0</v>
      </c>
      <c r="I561" s="187">
        <f t="shared" ca="1" si="208"/>
        <v>0</v>
      </c>
      <c r="J561" s="187">
        <f t="shared" ca="1" si="208"/>
        <v>0</v>
      </c>
      <c r="K561" s="187">
        <f t="shared" ca="1" si="208"/>
        <v>0</v>
      </c>
    </row>
    <row r="562" spans="1:11" ht="13.5" customHeight="1" outlineLevel="1">
      <c r="B562" s="195" t="s">
        <v>77</v>
      </c>
      <c r="C562" s="195"/>
      <c r="D562" s="195"/>
      <c r="E562" s="196"/>
      <c r="F562" s="196">
        <f t="shared" ref="F562:K562" si="209">SUM(F558:F561)</f>
        <v>35.342737991266382</v>
      </c>
      <c r="G562" s="196">
        <f t="shared" ca="1" si="209"/>
        <v>35.342737991266382</v>
      </c>
      <c r="H562" s="196">
        <f t="shared" ca="1" si="209"/>
        <v>35.342737991266382</v>
      </c>
      <c r="I562" s="196">
        <f t="shared" ca="1" si="209"/>
        <v>35.342737991266382</v>
      </c>
      <c r="J562" s="196">
        <f t="shared" ca="1" si="209"/>
        <v>43.500430376632465</v>
      </c>
      <c r="K562" s="196">
        <f t="shared" ca="1" si="209"/>
        <v>43.500430376632465</v>
      </c>
    </row>
    <row r="563" spans="1:11" ht="5.0999999999999996" customHeight="1" outlineLevel="1" thickBot="1">
      <c r="B563" s="90"/>
      <c r="C563" s="90"/>
      <c r="D563" s="90"/>
      <c r="E563" s="90"/>
      <c r="F563" s="90"/>
      <c r="G563" s="90"/>
      <c r="H563" s="90"/>
      <c r="I563" s="90"/>
      <c r="J563" s="90"/>
      <c r="K563" s="90"/>
    </row>
    <row r="564" spans="1:11" ht="13.5" customHeight="1" outlineLevel="1"/>
    <row r="565" spans="1:11" ht="13.5" customHeight="1" outlineLevel="1" thickBot="1"/>
    <row r="566" spans="1:11" ht="20.7" thickTop="1">
      <c r="A566" s="41" t="s">
        <v>286</v>
      </c>
      <c r="B566" s="42" t="s">
        <v>305</v>
      </c>
      <c r="C566" s="43"/>
      <c r="D566" s="44"/>
      <c r="E566" s="44"/>
      <c r="F566" s="44"/>
      <c r="G566" s="44"/>
      <c r="H566" s="44"/>
      <c r="I566" s="44"/>
      <c r="J566" s="44"/>
      <c r="K566" s="44"/>
    </row>
    <row r="567" spans="1:11" ht="5.0999999999999996" customHeight="1" outlineLevel="1">
      <c r="B567" s="45"/>
      <c r="C567" s="46"/>
    </row>
    <row r="568" spans="1:11" ht="13.5" customHeight="1" outlineLevel="1">
      <c r="B568" s="47"/>
      <c r="C568" s="47"/>
      <c r="D568" s="47"/>
      <c r="E568" s="48"/>
      <c r="F568" s="49" t="s">
        <v>285</v>
      </c>
      <c r="G568" s="50" t="s">
        <v>284</v>
      </c>
      <c r="H568" s="50"/>
      <c r="I568" s="50"/>
      <c r="J568" s="50"/>
      <c r="K568" s="50"/>
    </row>
    <row r="569" spans="1:11" ht="13.5" customHeight="1" outlineLevel="1" thickBot="1">
      <c r="B569" s="51" t="s">
        <v>9</v>
      </c>
      <c r="C569" s="52"/>
      <c r="D569" s="52"/>
      <c r="E569" s="53"/>
      <c r="F569" s="54">
        <f t="shared" ref="F569:K569" si="210">F$8</f>
        <v>44926</v>
      </c>
      <c r="G569" s="54">
        <f t="shared" si="210"/>
        <v>45291</v>
      </c>
      <c r="H569" s="54">
        <f t="shared" si="210"/>
        <v>45657</v>
      </c>
      <c r="I569" s="54">
        <f t="shared" si="210"/>
        <v>46022</v>
      </c>
      <c r="J569" s="54">
        <f t="shared" si="210"/>
        <v>46387</v>
      </c>
      <c r="K569" s="54">
        <f t="shared" si="210"/>
        <v>46752</v>
      </c>
    </row>
    <row r="570" spans="1:11" ht="5.0999999999999996" customHeight="1" outlineLevel="1">
      <c r="B570" s="55"/>
      <c r="C570" s="55"/>
      <c r="D570" s="55"/>
      <c r="E570" s="56"/>
      <c r="F570" s="56"/>
      <c r="G570" s="56"/>
      <c r="H570" s="56"/>
      <c r="I570" s="56"/>
      <c r="J570" s="56"/>
    </row>
    <row r="571" spans="1:11" ht="13.5" customHeight="1" outlineLevel="1">
      <c r="B571" s="176" t="s">
        <v>280</v>
      </c>
      <c r="C571" s="177"/>
      <c r="D571" s="178"/>
      <c r="E571" s="178"/>
      <c r="F571" s="178"/>
      <c r="G571" s="178"/>
      <c r="H571" s="178"/>
      <c r="I571" s="178"/>
      <c r="J571" s="178"/>
      <c r="K571" s="179"/>
    </row>
    <row r="572" spans="1:11" ht="13.5" customHeight="1" outlineLevel="1"/>
    <row r="573" spans="1:11" ht="13.5" customHeight="1" outlineLevel="1">
      <c r="B573" s="34" t="s">
        <v>125</v>
      </c>
      <c r="F573" s="129"/>
      <c r="G573" s="131">
        <f ca="1">G113</f>
        <v>244.52500000000001</v>
      </c>
      <c r="H573" s="131">
        <f ca="1">H113</f>
        <v>253.97868750000001</v>
      </c>
      <c r="I573" s="131">
        <f ca="1">I113</f>
        <v>263.88142515624997</v>
      </c>
      <c r="J573" s="131">
        <f ca="1">J113</f>
        <v>263.88142515624997</v>
      </c>
      <c r="K573" s="131">
        <f ca="1">K113</f>
        <v>263.88142515624997</v>
      </c>
    </row>
    <row r="574" spans="1:11" ht="13.5" customHeight="1" outlineLevel="1">
      <c r="B574" s="34" t="s">
        <v>272</v>
      </c>
      <c r="F574" s="131"/>
      <c r="G574" s="131">
        <f ca="1">G573-G84</f>
        <v>5.8240699761155952</v>
      </c>
      <c r="H574" s="131">
        <f ca="1">H573-H84</f>
        <v>-59.918650029842667</v>
      </c>
      <c r="I574" s="131">
        <f ca="1">I573-I84</f>
        <v>-128.9850351523952</v>
      </c>
      <c r="J574" s="131">
        <f ca="1">J573-J84</f>
        <v>-197.97897721688327</v>
      </c>
      <c r="K574" s="131">
        <f ca="1">K573-K84</f>
        <v>-270.13406458184681</v>
      </c>
    </row>
    <row r="575" spans="1:11" ht="13.5" customHeight="1" outlineLevel="1">
      <c r="B575" s="34" t="s">
        <v>273</v>
      </c>
      <c r="F575" s="131"/>
      <c r="G575" s="133">
        <f ca="1">G241+G250</f>
        <v>0</v>
      </c>
      <c r="H575" s="133">
        <f ca="1">H241+H250</f>
        <v>0</v>
      </c>
      <c r="I575" s="133">
        <f ca="1">I241+I250</f>
        <v>0</v>
      </c>
      <c r="J575" s="133">
        <f ca="1">J241+J250</f>
        <v>0</v>
      </c>
      <c r="K575" s="133">
        <f ca="1">K241+K250</f>
        <v>0</v>
      </c>
    </row>
    <row r="576" spans="1:11" ht="13.5" customHeight="1" outlineLevel="1">
      <c r="B576" s="34" t="s">
        <v>274</v>
      </c>
      <c r="F576" s="131"/>
      <c r="G576" s="133">
        <f>G268</f>
        <v>0</v>
      </c>
      <c r="H576" s="133">
        <f>H268</f>
        <v>0</v>
      </c>
      <c r="I576" s="133">
        <f>I268</f>
        <v>0</v>
      </c>
      <c r="J576" s="133">
        <f>J268</f>
        <v>0</v>
      </c>
      <c r="K576" s="133">
        <f>K268</f>
        <v>0</v>
      </c>
    </row>
    <row r="577" spans="2:11" ht="13.5" customHeight="1" outlineLevel="1">
      <c r="B577" s="34" t="s">
        <v>275</v>
      </c>
      <c r="F577" s="131"/>
      <c r="G577" s="131">
        <f ca="1">G573+G576+G119</f>
        <v>412.24346272388436</v>
      </c>
      <c r="H577" s="131">
        <f ca="1">H573+H576+H119</f>
        <v>480.22461772984263</v>
      </c>
      <c r="I577" s="131">
        <f ca="1">I573+I576+I119</f>
        <v>552.19772538364509</v>
      </c>
      <c r="J577" s="131">
        <f ca="1">J573+J576+J119</f>
        <v>623.33485156688312</v>
      </c>
      <c r="K577" s="131">
        <f ca="1">K573+K576+K119</f>
        <v>700.56583225653412</v>
      </c>
    </row>
    <row r="578" spans="2:11" ht="13.5" customHeight="1" outlineLevel="1"/>
    <row r="579" spans="2:11" ht="13.5" customHeight="1" outlineLevel="1">
      <c r="B579" s="176" t="s">
        <v>249</v>
      </c>
      <c r="C579" s="177"/>
      <c r="D579" s="178"/>
      <c r="E579" s="178"/>
      <c r="F579" s="178"/>
      <c r="G579" s="178"/>
      <c r="H579" s="178"/>
      <c r="I579" s="178"/>
      <c r="J579" s="178"/>
      <c r="K579" s="179"/>
    </row>
    <row r="580" spans="2:11" ht="13.5" customHeight="1" outlineLevel="1"/>
    <row r="581" spans="2:11" ht="13.5" customHeight="1" outlineLevel="1">
      <c r="B581" s="34" t="s">
        <v>247</v>
      </c>
      <c r="F581" s="129"/>
      <c r="G581" s="129">
        <f t="shared" ref="G581:K583" si="211">G297</f>
        <v>1.6234587500000002</v>
      </c>
      <c r="H581" s="129">
        <f t="shared" ca="1" si="211"/>
        <v>0.5</v>
      </c>
      <c r="I581" s="129">
        <f t="shared" ca="1" si="211"/>
        <v>0.5</v>
      </c>
      <c r="J581" s="129">
        <f t="shared" ca="1" si="211"/>
        <v>0.5</v>
      </c>
      <c r="K581" s="129">
        <f t="shared" ca="1" si="211"/>
        <v>0.5</v>
      </c>
    </row>
    <row r="582" spans="2:11" ht="13.5" customHeight="1" outlineLevel="1">
      <c r="B582" s="34" t="s">
        <v>248</v>
      </c>
      <c r="F582" s="131"/>
      <c r="G582" s="131">
        <f t="shared" si="211"/>
        <v>14.402208750000002</v>
      </c>
      <c r="H582" s="131">
        <f t="shared" ca="1" si="211"/>
        <v>13.707437500000001</v>
      </c>
      <c r="I582" s="131">
        <f t="shared" ca="1" si="211"/>
        <v>14.15648765625</v>
      </c>
      <c r="J582" s="131">
        <f t="shared" ca="1" si="211"/>
        <v>24.999985389843751</v>
      </c>
      <c r="K582" s="131">
        <f t="shared" ca="1" si="211"/>
        <v>24.999985389843751</v>
      </c>
    </row>
    <row r="583" spans="2:11" ht="13.5" customHeight="1" outlineLevel="1">
      <c r="B583" s="34" t="s">
        <v>238</v>
      </c>
      <c r="F583" s="131"/>
      <c r="G583" s="131">
        <f t="shared" si="211"/>
        <v>23.427208750000002</v>
      </c>
      <c r="H583" s="131">
        <f t="shared" ca="1" si="211"/>
        <v>23.161125000000002</v>
      </c>
      <c r="I583" s="131">
        <f t="shared" ca="1" si="211"/>
        <v>24.059225312500001</v>
      </c>
      <c r="J583" s="131">
        <f t="shared" ca="1" si="211"/>
        <v>24.999985389843751</v>
      </c>
      <c r="K583" s="131">
        <f t="shared" ca="1" si="211"/>
        <v>24.999985389843751</v>
      </c>
    </row>
    <row r="584" spans="2:11" ht="13.5" customHeight="1" outlineLevel="1">
      <c r="B584" s="34" t="s">
        <v>250</v>
      </c>
      <c r="F584" s="131"/>
      <c r="G584" s="131">
        <f>G299+G302</f>
        <v>23.427208750000002</v>
      </c>
      <c r="H584" s="131">
        <f ca="1">H299+H302</f>
        <v>23.161125000000002</v>
      </c>
      <c r="I584" s="131">
        <f ca="1">I299+I302</f>
        <v>24.059225312500001</v>
      </c>
      <c r="J584" s="131">
        <f ca="1">J299+J302</f>
        <v>24.999985389843751</v>
      </c>
      <c r="K584" s="131">
        <f ca="1">K299+K302</f>
        <v>24.999985389843751</v>
      </c>
    </row>
    <row r="585" spans="2:11" ht="13.5" customHeight="1" outlineLevel="1"/>
    <row r="586" spans="2:11" ht="13.5" customHeight="1" outlineLevel="1">
      <c r="B586" s="82" t="s">
        <v>279</v>
      </c>
      <c r="C586" s="177"/>
      <c r="D586" s="178"/>
      <c r="E586" s="178"/>
      <c r="F586" s="178"/>
      <c r="G586" s="178"/>
      <c r="H586" s="178"/>
      <c r="I586" s="178"/>
      <c r="J586" s="178"/>
      <c r="K586" s="179"/>
    </row>
    <row r="587" spans="2:11" ht="13.5" customHeight="1" outlineLevel="1"/>
    <row r="588" spans="2:11" ht="13.5" customHeight="1" outlineLevel="1">
      <c r="B588" s="175" t="s">
        <v>48</v>
      </c>
      <c r="F588" s="129"/>
      <c r="G588" s="129">
        <f>G14</f>
        <v>133.14000000000004</v>
      </c>
      <c r="H588" s="129">
        <f>H14</f>
        <v>139.79700000000005</v>
      </c>
      <c r="I588" s="129">
        <f>I14</f>
        <v>146.78685000000002</v>
      </c>
      <c r="J588" s="129">
        <f>J14</f>
        <v>154.1261925</v>
      </c>
      <c r="K588" s="129">
        <f>K14</f>
        <v>161.83250212500005</v>
      </c>
    </row>
    <row r="589" spans="2:11" ht="13.5" customHeight="1" outlineLevel="1">
      <c r="B589" s="34" t="s">
        <v>251</v>
      </c>
      <c r="F589" s="197"/>
      <c r="G589" s="197">
        <f>IFERROR(G$588/G581,0)</f>
        <v>82.010091109490787</v>
      </c>
      <c r="H589" s="197">
        <f t="shared" ref="H589:K589" ca="1" si="212">IFERROR(H$588/H581,0)</f>
        <v>279.59400000000011</v>
      </c>
      <c r="I589" s="197">
        <f t="shared" ca="1" si="212"/>
        <v>293.57370000000003</v>
      </c>
      <c r="J589" s="197">
        <f t="shared" ca="1" si="212"/>
        <v>308.252385</v>
      </c>
      <c r="K589" s="197">
        <f t="shared" ca="1" si="212"/>
        <v>323.66500425000009</v>
      </c>
    </row>
    <row r="590" spans="2:11" ht="13.5" customHeight="1" outlineLevel="1">
      <c r="B590" s="34" t="s">
        <v>252</v>
      </c>
      <c r="F590" s="197"/>
      <c r="G590" s="197">
        <f t="shared" ref="G590:K592" si="213">IFERROR(G$588/G582,0)</f>
        <v>9.2444153748292273</v>
      </c>
      <c r="H590" s="197">
        <f t="shared" ca="1" si="213"/>
        <v>10.198623922232002</v>
      </c>
      <c r="I590" s="197">
        <f t="shared" ca="1" si="213"/>
        <v>10.368874933126124</v>
      </c>
      <c r="J590" s="197">
        <f t="shared" ca="1" si="213"/>
        <v>6.1650513028945131</v>
      </c>
      <c r="K590" s="197">
        <f t="shared" ca="1" si="213"/>
        <v>6.4733038680392401</v>
      </c>
    </row>
    <row r="591" spans="2:11" ht="13.5" customHeight="1" outlineLevel="1">
      <c r="B591" s="34" t="s">
        <v>253</v>
      </c>
      <c r="F591" s="197"/>
      <c r="G591" s="197">
        <f t="shared" si="213"/>
        <v>5.6831354268783745</v>
      </c>
      <c r="H591" s="197">
        <f t="shared" ca="1" si="213"/>
        <v>6.0358467043375503</v>
      </c>
      <c r="I591" s="197">
        <f t="shared" ca="1" si="213"/>
        <v>6.1010630264864236</v>
      </c>
      <c r="J591" s="197">
        <f t="shared" ca="1" si="213"/>
        <v>6.1650513028945131</v>
      </c>
      <c r="K591" s="197">
        <f t="shared" ca="1" si="213"/>
        <v>6.4733038680392401</v>
      </c>
    </row>
    <row r="592" spans="2:11" ht="13.5" customHeight="1" outlineLevel="1">
      <c r="B592" s="34" t="s">
        <v>254</v>
      </c>
      <c r="F592" s="197"/>
      <c r="G592" s="197">
        <f t="shared" si="213"/>
        <v>5.6831354268783745</v>
      </c>
      <c r="H592" s="197">
        <f t="shared" ca="1" si="213"/>
        <v>6.0358467043375503</v>
      </c>
      <c r="I592" s="197">
        <f t="shared" ca="1" si="213"/>
        <v>6.1010630264864236</v>
      </c>
      <c r="J592" s="197">
        <f t="shared" ca="1" si="213"/>
        <v>6.1650513028945131</v>
      </c>
      <c r="K592" s="197">
        <f t="shared" ca="1" si="213"/>
        <v>6.4733038680392401</v>
      </c>
    </row>
    <row r="593" spans="2:11" ht="13.5" customHeight="1" outlineLevel="1"/>
    <row r="594" spans="2:11" ht="13.5" customHeight="1" outlineLevel="1">
      <c r="B594" s="175" t="s">
        <v>256</v>
      </c>
      <c r="F594" s="129"/>
      <c r="G594" s="129">
        <f>G588-G46</f>
        <v>117.18000000000004</v>
      </c>
      <c r="H594" s="129">
        <f>H588-H46</f>
        <v>123.03900000000006</v>
      </c>
      <c r="I594" s="129">
        <f>I588-I46</f>
        <v>129.19095000000002</v>
      </c>
      <c r="J594" s="129">
        <f>J588-J46</f>
        <v>135.6504975</v>
      </c>
      <c r="K594" s="129">
        <f>K588-K46</f>
        <v>142.43302237500004</v>
      </c>
    </row>
    <row r="595" spans="2:11" ht="13.5" customHeight="1" outlineLevel="1">
      <c r="B595" s="34" t="s">
        <v>255</v>
      </c>
      <c r="F595" s="197"/>
      <c r="G595" s="197">
        <f>IFERROR(G$594/G581,0)</f>
        <v>72.179228452832589</v>
      </c>
      <c r="H595" s="197">
        <f t="shared" ref="H595:K595" ca="1" si="214">IFERROR(H$594/H581,0)</f>
        <v>246.07800000000012</v>
      </c>
      <c r="I595" s="197">
        <f t="shared" ca="1" si="214"/>
        <v>258.38190000000003</v>
      </c>
      <c r="J595" s="197">
        <f t="shared" ca="1" si="214"/>
        <v>271.300995</v>
      </c>
      <c r="K595" s="197">
        <f t="shared" ca="1" si="214"/>
        <v>284.86604475000007</v>
      </c>
    </row>
    <row r="596" spans="2:11" ht="13.5" customHeight="1" outlineLevel="1">
      <c r="B596" s="34" t="s">
        <v>258</v>
      </c>
      <c r="F596" s="197"/>
      <c r="G596" s="197">
        <f t="shared" ref="G596:K598" si="215">IFERROR(G$594/G582,0)</f>
        <v>8.1362520175941775</v>
      </c>
      <c r="H596" s="197">
        <f t="shared" ca="1" si="215"/>
        <v>8.9760759441726474</v>
      </c>
      <c r="I596" s="197">
        <f t="shared" ca="1" si="215"/>
        <v>9.1259183165368718</v>
      </c>
      <c r="J596" s="197">
        <f t="shared" ca="1" si="215"/>
        <v>5.4260230710017954</v>
      </c>
      <c r="K596" s="197">
        <f t="shared" ca="1" si="215"/>
        <v>5.6973242245518865</v>
      </c>
    </row>
    <row r="597" spans="2:11" ht="13.5" customHeight="1" outlineLevel="1">
      <c r="B597" s="34" t="s">
        <v>257</v>
      </c>
      <c r="F597" s="197"/>
      <c r="G597" s="197">
        <f t="shared" si="215"/>
        <v>5.0018762905333327</v>
      </c>
      <c r="H597" s="197">
        <f t="shared" ca="1" si="215"/>
        <v>5.3123067208522921</v>
      </c>
      <c r="I597" s="197">
        <f t="shared" ca="1" si="215"/>
        <v>5.369705313532215</v>
      </c>
      <c r="J597" s="197">
        <f t="shared" ca="1" si="215"/>
        <v>5.4260230710017954</v>
      </c>
      <c r="K597" s="197">
        <f t="shared" ca="1" si="215"/>
        <v>5.6973242245518865</v>
      </c>
    </row>
    <row r="598" spans="2:11" ht="13.5" customHeight="1" outlineLevel="1">
      <c r="B598" s="34" t="s">
        <v>259</v>
      </c>
      <c r="F598" s="197"/>
      <c r="G598" s="197">
        <f t="shared" si="215"/>
        <v>5.0018762905333327</v>
      </c>
      <c r="H598" s="197">
        <f t="shared" ca="1" si="215"/>
        <v>5.3123067208522921</v>
      </c>
      <c r="I598" s="197">
        <f t="shared" ca="1" si="215"/>
        <v>5.369705313532215</v>
      </c>
      <c r="J598" s="197">
        <f t="shared" ca="1" si="215"/>
        <v>5.4260230710017954</v>
      </c>
      <c r="K598" s="197">
        <f t="shared" ca="1" si="215"/>
        <v>5.6973242245518865</v>
      </c>
    </row>
    <row r="599" spans="2:11" ht="13.5" customHeight="1" outlineLevel="1"/>
    <row r="600" spans="2:11" ht="13.5" customHeight="1" outlineLevel="1">
      <c r="B600" s="175" t="s">
        <v>267</v>
      </c>
      <c r="F600" s="129"/>
      <c r="G600" s="129">
        <f>G594-(G186-F186)</f>
        <v>114.26405000000004</v>
      </c>
      <c r="H600" s="129">
        <f>H594-(H186-G186)</f>
        <v>119.97725250000006</v>
      </c>
      <c r="I600" s="129">
        <f>I594-(I186-H186)</f>
        <v>125.97611512499998</v>
      </c>
      <c r="J600" s="129">
        <f>J594-(J186-I186)</f>
        <v>132.27492088125001</v>
      </c>
      <c r="K600" s="129">
        <f>K594-(K186-J186)</f>
        <v>138.88866692531252</v>
      </c>
    </row>
    <row r="601" spans="2:11" ht="13.5" customHeight="1" outlineLevel="1">
      <c r="B601" s="34" t="s">
        <v>268</v>
      </c>
      <c r="F601" s="197"/>
      <c r="G601" s="197">
        <f>IFERROR(G$600/G581,0)</f>
        <v>70.38309411926852</v>
      </c>
      <c r="H601" s="197">
        <f t="shared" ref="H601:K601" ca="1" si="216">IFERROR(H$600/H581,0)</f>
        <v>239.95450500000013</v>
      </c>
      <c r="I601" s="197">
        <f t="shared" ca="1" si="216"/>
        <v>251.95223024999996</v>
      </c>
      <c r="J601" s="197">
        <f t="shared" ca="1" si="216"/>
        <v>264.54984176250002</v>
      </c>
      <c r="K601" s="197">
        <f t="shared" ca="1" si="216"/>
        <v>277.77733385062504</v>
      </c>
    </row>
    <row r="602" spans="2:11" ht="13.5" customHeight="1" outlineLevel="1">
      <c r="B602" s="34" t="s">
        <v>269</v>
      </c>
      <c r="F602" s="197"/>
      <c r="G602" s="197">
        <f t="shared" ref="G602:K604" si="217">IFERROR(G$600/G582,0)</f>
        <v>7.9337865450672647</v>
      </c>
      <c r="H602" s="197">
        <f t="shared" ca="1" si="217"/>
        <v>8.7527119857376743</v>
      </c>
      <c r="I602" s="197">
        <f t="shared" ca="1" si="217"/>
        <v>8.8988256256757534</v>
      </c>
      <c r="J602" s="197">
        <f t="shared" ca="1" si="217"/>
        <v>5.2909999273434263</v>
      </c>
      <c r="K602" s="197">
        <f t="shared" ca="1" si="217"/>
        <v>5.5555499237105979</v>
      </c>
    </row>
    <row r="603" spans="2:11" ht="13.5" customHeight="1" outlineLevel="1">
      <c r="B603" s="34" t="s">
        <v>270</v>
      </c>
      <c r="F603" s="197"/>
      <c r="G603" s="197">
        <f t="shared" si="217"/>
        <v>4.8774077705693397</v>
      </c>
      <c r="H603" s="197">
        <f t="shared" ca="1" si="217"/>
        <v>5.180113336463581</v>
      </c>
      <c r="I603" s="197">
        <f t="shared" ca="1" si="217"/>
        <v>5.2360836015592289</v>
      </c>
      <c r="J603" s="197">
        <f t="shared" ca="1" si="217"/>
        <v>5.2909999273434263</v>
      </c>
      <c r="K603" s="197">
        <f t="shared" ca="1" si="217"/>
        <v>5.5555499237105979</v>
      </c>
    </row>
    <row r="604" spans="2:11" ht="13.5" customHeight="1" outlineLevel="1">
      <c r="B604" s="34" t="s">
        <v>271</v>
      </c>
      <c r="F604" s="197"/>
      <c r="G604" s="197">
        <f t="shared" si="217"/>
        <v>4.8774077705693397</v>
      </c>
      <c r="H604" s="197">
        <f t="shared" ca="1" si="217"/>
        <v>5.180113336463581</v>
      </c>
      <c r="I604" s="197">
        <f t="shared" ca="1" si="217"/>
        <v>5.2360836015592289</v>
      </c>
      <c r="J604" s="197">
        <f t="shared" ca="1" si="217"/>
        <v>5.2909999273434263</v>
      </c>
      <c r="K604" s="197">
        <f t="shared" ca="1" si="217"/>
        <v>5.5555499237105979</v>
      </c>
    </row>
    <row r="605" spans="2:11" ht="13.5" customHeight="1" outlineLevel="1"/>
    <row r="606" spans="2:11" ht="13.5" customHeight="1" outlineLevel="1">
      <c r="B606" s="82" t="s">
        <v>260</v>
      </c>
      <c r="C606" s="83"/>
      <c r="D606" s="84"/>
      <c r="E606" s="84"/>
      <c r="F606" s="84"/>
      <c r="G606" s="84"/>
      <c r="H606" s="178"/>
      <c r="I606" s="178"/>
      <c r="J606" s="178"/>
      <c r="K606" s="179"/>
    </row>
    <row r="607" spans="2:11" ht="13.5" customHeight="1" outlineLevel="1">
      <c r="B607" s="198"/>
      <c r="C607" s="198"/>
      <c r="D607" s="198"/>
      <c r="E607" s="199"/>
      <c r="F607" s="199"/>
      <c r="G607" s="199"/>
    </row>
    <row r="608" spans="2:11" ht="13.5" customHeight="1" outlineLevel="1">
      <c r="B608" s="34" t="s">
        <v>261</v>
      </c>
      <c r="F608" s="200"/>
      <c r="G608" s="200">
        <f t="shared" ref="G608:K608" ca="1" si="218">G575/G577</f>
        <v>0</v>
      </c>
      <c r="H608" s="200">
        <f t="shared" ca="1" si="218"/>
        <v>0</v>
      </c>
      <c r="I608" s="200">
        <f t="shared" ca="1" si="218"/>
        <v>0</v>
      </c>
      <c r="J608" s="200">
        <f t="shared" ca="1" si="218"/>
        <v>0</v>
      </c>
      <c r="K608" s="200">
        <f t="shared" ca="1" si="218"/>
        <v>0</v>
      </c>
    </row>
    <row r="609" spans="2:11" ht="13.5" customHeight="1" outlineLevel="1">
      <c r="B609" s="34" t="s">
        <v>262</v>
      </c>
      <c r="F609" s="200"/>
      <c r="G609" s="200">
        <f t="shared" ref="G609:K609" ca="1" si="219">IF(G574/G577&lt;0,"NM",G574/G577)</f>
        <v>1.4127743682418285E-2</v>
      </c>
      <c r="H609" s="200" t="str">
        <f t="shared" ca="1" si="219"/>
        <v>NM</v>
      </c>
      <c r="I609" s="200" t="str">
        <f t="shared" ca="1" si="219"/>
        <v>NM</v>
      </c>
      <c r="J609" s="200" t="str">
        <f t="shared" ca="1" si="219"/>
        <v>NM</v>
      </c>
      <c r="K609" s="200" t="str">
        <f t="shared" ca="1" si="219"/>
        <v>NM</v>
      </c>
    </row>
    <row r="610" spans="2:11" ht="13.5" customHeight="1" outlineLevel="1"/>
    <row r="611" spans="2:11" ht="13.5" customHeight="1" outlineLevel="1">
      <c r="B611" s="34" t="s">
        <v>263</v>
      </c>
      <c r="F611" s="201"/>
      <c r="G611" s="201">
        <f t="shared" ref="G611:K611" ca="1" si="220">IF(G575/G588&lt;0,"NM",G575/G588)</f>
        <v>0</v>
      </c>
      <c r="H611" s="201">
        <f t="shared" ca="1" si="220"/>
        <v>0</v>
      </c>
      <c r="I611" s="201">
        <f t="shared" ca="1" si="220"/>
        <v>0</v>
      </c>
      <c r="J611" s="201">
        <f t="shared" ca="1" si="220"/>
        <v>0</v>
      </c>
      <c r="K611" s="201">
        <f t="shared" ca="1" si="220"/>
        <v>0</v>
      </c>
    </row>
    <row r="612" spans="2:11" ht="13.5" customHeight="1" outlineLevel="1">
      <c r="B612" s="34" t="s">
        <v>264</v>
      </c>
      <c r="F612" s="201"/>
      <c r="G612" s="201">
        <f t="shared" ref="G612:K612" ca="1" si="221">IF(G573/G588&lt;0,"NM",G573/G588)</f>
        <v>1.8366005708276996</v>
      </c>
      <c r="H612" s="201">
        <f t="shared" ca="1" si="221"/>
        <v>1.8167677954462536</v>
      </c>
      <c r="I612" s="201">
        <f t="shared" ca="1" si="221"/>
        <v>1.7977184274766436</v>
      </c>
      <c r="J612" s="201">
        <f t="shared" ca="1" si="221"/>
        <v>1.7121127880729941</v>
      </c>
      <c r="K612" s="201">
        <f t="shared" ca="1" si="221"/>
        <v>1.6305836076885651</v>
      </c>
    </row>
    <row r="613" spans="2:11" ht="13.5" customHeight="1" outlineLevel="1">
      <c r="B613" s="34" t="s">
        <v>265</v>
      </c>
      <c r="F613" s="201"/>
      <c r="G613" s="201">
        <f t="shared" ref="G613:K613" ca="1" si="222">IF(G574/G588&lt;0,"NM",G574/G588)</f>
        <v>4.3743953553519552E-2</v>
      </c>
      <c r="H613" s="201" t="str">
        <f t="shared" ca="1" si="222"/>
        <v>NM</v>
      </c>
      <c r="I613" s="201" t="str">
        <f t="shared" ca="1" si="222"/>
        <v>NM</v>
      </c>
      <c r="J613" s="201" t="str">
        <f t="shared" ca="1" si="222"/>
        <v>NM</v>
      </c>
      <c r="K613" s="201" t="str">
        <f t="shared" ca="1" si="222"/>
        <v>NM</v>
      </c>
    </row>
    <row r="614" spans="2:11" ht="13.5" customHeight="1" outlineLevel="1">
      <c r="B614" s="34" t="s">
        <v>266</v>
      </c>
      <c r="F614" s="201"/>
      <c r="G614" s="201">
        <f ca="1">IF((G574+G576)/G588&lt;0,"NM",(G574+G576)/G588)</f>
        <v>4.3743953553519552E-2</v>
      </c>
      <c r="H614" s="201" t="str">
        <f t="shared" ref="H614:K614" ca="1" si="223">IF((H574+H576)/H588&lt;0,"NM",(H574+H576)/H588)</f>
        <v>NM</v>
      </c>
      <c r="I614" s="201" t="str">
        <f t="shared" ca="1" si="223"/>
        <v>NM</v>
      </c>
      <c r="J614" s="201" t="str">
        <f t="shared" ca="1" si="223"/>
        <v>NM</v>
      </c>
      <c r="K614" s="201" t="str">
        <f t="shared" ca="1" si="223"/>
        <v>NM</v>
      </c>
    </row>
    <row r="615" spans="2:11" ht="5.0999999999999996" customHeight="1" outlineLevel="1" thickBot="1">
      <c r="B615" s="90"/>
      <c r="C615" s="90"/>
      <c r="D615" s="90"/>
      <c r="E615" s="90"/>
      <c r="F615" s="90"/>
      <c r="G615" s="90"/>
      <c r="H615" s="90"/>
      <c r="I615" s="90"/>
      <c r="J615" s="90"/>
      <c r="K615" s="90"/>
    </row>
  </sheetData>
  <dataValidations disablePrompts="1" count="2">
    <dataValidation type="whole" showInputMessage="1" showErrorMessage="1" errorTitle="Validation Error" error="Enter either 0 or 1." sqref="G319:I323" xr:uid="{00000000-0002-0000-0200-000000000000}">
      <formula1>0</formula1>
      <formula2>1</formula2>
    </dataValidation>
    <dataValidation type="whole" allowBlank="1" showInputMessage="1" showErrorMessage="1" sqref="D314 F339 F356 F407" xr:uid="{00000000-0002-0000-0200-000001000000}">
      <formula1>0</formula1>
      <formula2>1</formula2>
    </dataValidation>
  </dataValidations>
  <pageMargins left="0" right="0" top="0" bottom="0" header="0" footer="0"/>
  <pageSetup scale="10" orientation="landscape" r:id="rId1"/>
  <headerFooter alignWithMargins="0">
    <oddHeader>&amp;A</oddHeader>
    <oddFooter>Page &amp;P of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Page</vt:lpstr>
      <vt:lpstr>Model</vt:lpstr>
      <vt:lpstr>'Cover Page'!Print_Area</vt:lpstr>
    </vt:vector>
  </TitlesOfParts>
  <Company>Macabacus,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MacGregor</dc:creator>
  <cp:lastModifiedBy>Corporate Finance Institute</cp:lastModifiedBy>
  <cp:lastPrinted>2023-01-31T16:15:54Z</cp:lastPrinted>
  <dcterms:created xsi:type="dcterms:W3CDTF">2010-12-02T19:43:38Z</dcterms:created>
  <dcterms:modified xsi:type="dcterms:W3CDTF">2023-01-31T16:24:26Z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1897054040</vt:i4>
  </property>
  <property fmtid="{D5CDD505-2E9C-101B-9397-08002B2CF9AE}" pid="3" name="_NewReviewCycle">
    <vt:lpwstr/>
  </property>
  <property fmtid="{D5CDD505-2E9C-101B-9397-08002B2CF9AE}" pid="4" name="_EmailSubject">
    <vt:lpwstr>Excel File</vt:lpwstr>
  </property>
  <property fmtid="{D5CDD505-2E9C-101B-9397-08002B2CF9AE}" pid="5" name="_AuthorEmail">
    <vt:lpwstr>john.prave@credit-suisse.com</vt:lpwstr>
  </property>
  <property fmtid="{D5CDD505-2E9C-101B-9397-08002B2CF9AE}" pid="6" name="_AuthorEmailDisplayName">
    <vt:lpwstr>Prave, John</vt:lpwstr>
  </property>
  <property fmtid="{D5CDD505-2E9C-101B-9397-08002B2CF9AE}" pid="7" name="_ReviewingToolsShownOnce">
    <vt:lpwstr/>
  </property>
</Properties>
</file>