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2"/>
  </bookViews>
  <sheets>
    <sheet name="Assumptions" sheetId="1" r:id="rId1"/>
    <sheet name="Buyer P&amp;L" sheetId="2" r:id="rId2"/>
    <sheet name="Target P&amp;L" sheetId="3" r:id="rId3"/>
  </sheets>
  <externalReferences>
    <externalReference r:id="rId6"/>
  </externalReferences>
  <definedNames>
    <definedName name="acq">'Assumptions'!$H$8</definedName>
    <definedName name="acq_fye">'Assumptions'!$H$32</definedName>
    <definedName name="acq_price">'Assumptions'!$J$11</definedName>
    <definedName name="libor">'[1]LBO'!$AF$34</definedName>
    <definedName name="tgt">'Assumptions'!$L$8</definedName>
    <definedName name="tgt_price">'Assumptions'!$N$11</definedName>
    <definedName name="year">'Assumptions'!$T$40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T7" authorId="0">
      <text>
        <r>
          <rPr>
            <sz val="8"/>
            <color indexed="8"/>
            <rFont val="Tahoma"/>
            <family val="0"/>
          </rPr>
          <t>This integer value will correspond to a offer price per TargetCo share once we determine what range of offer prices we want to consider for this deal.</t>
        </r>
      </text>
    </comment>
    <comment ref="T8" authorId="0">
      <text>
        <r>
          <rPr>
            <sz val="8"/>
            <color indexed="8"/>
            <rFont val="Tahoma"/>
            <family val="0"/>
          </rPr>
          <t>Consideration paid to TargetCo's shareholders may comprise cash and/or BuyerCo stock.</t>
        </r>
      </text>
    </comment>
    <comment ref="T17" authorId="0">
      <text>
        <r>
          <rPr>
            <sz val="8"/>
            <color indexed="8"/>
            <rFont val="Tahoma"/>
            <family val="0"/>
          </rPr>
          <t>The period over which debt used to acquire TargetCo must be repaid.</t>
        </r>
      </text>
    </comment>
    <comment ref="T20" authorId="0">
      <text>
        <r>
          <rPr>
            <sz val="8"/>
            <color indexed="8"/>
            <rFont val="Tahoma"/>
            <family val="0"/>
          </rPr>
          <t>The rate at which interest would accrue on any cash balance.</t>
        </r>
      </text>
    </comment>
    <comment ref="T21" authorId="0">
      <text>
        <r>
          <rPr>
            <sz val="8"/>
            <color indexed="8"/>
            <rFont val="Tahoma"/>
            <family val="0"/>
          </rPr>
          <t>This is the minimum amount of cash that the combined company is expected to need to fund its operations.</t>
        </r>
      </text>
    </comment>
    <comment ref="T39" authorId="0">
      <text>
        <r>
          <rPr>
            <sz val="8"/>
            <color indexed="8"/>
            <rFont val="Tahoma"/>
            <family val="0"/>
          </rPr>
          <t>Always use the acquirer's tax rate.  We will plug in this number after building the acquirer's P&amp;L.</t>
        </r>
      </text>
    </comment>
  </commentList>
</comments>
</file>

<file path=xl/comments2.xml><?xml version="1.0" encoding="utf-8"?>
<comments xmlns="http://schemas.openxmlformats.org/spreadsheetml/2006/main">
  <authors>
    <author>Ryan MacGregor</author>
  </authors>
  <commentList>
    <comment ref="M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  <comment ref="O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  <comment ref="Q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</commentList>
</comments>
</file>

<file path=xl/sharedStrings.xml><?xml version="1.0" encoding="utf-8"?>
<sst xmlns="http://schemas.openxmlformats.org/spreadsheetml/2006/main" count="207" uniqueCount="117">
  <si>
    <t>Transaction Assumptions</t>
  </si>
  <si>
    <t>($ in millions, except per share data)</t>
  </si>
  <si>
    <t>Summary Financial Data</t>
  </si>
  <si>
    <t>Acquirer</t>
  </si>
  <si>
    <t>Target</t>
  </si>
  <si>
    <t>Code Name</t>
  </si>
  <si>
    <t>BuyerCo</t>
  </si>
  <si>
    <t>TargetCo</t>
  </si>
  <si>
    <t>Ticker</t>
  </si>
  <si>
    <t>BBB</t>
  </si>
  <si>
    <t>TTT</t>
  </si>
  <si>
    <t>Current Price</t>
  </si>
  <si>
    <t>52-Week High</t>
  </si>
  <si>
    <t>52-Week Low</t>
  </si>
  <si>
    <t>Basic Shares Outstanding</t>
  </si>
  <si>
    <t>Treasury Method Shares</t>
  </si>
  <si>
    <t>In-the-Money Convertible Shares</t>
  </si>
  <si>
    <t>Fully Diluted Shares Outstanding</t>
  </si>
  <si>
    <t>Equity Value</t>
  </si>
  <si>
    <t>Net Debt</t>
  </si>
  <si>
    <t>Enterprise Value</t>
  </si>
  <si>
    <t>Convert 1</t>
  </si>
  <si>
    <t>Convert 2</t>
  </si>
  <si>
    <t>Face Value</t>
  </si>
  <si>
    <t>Conversion Price</t>
  </si>
  <si>
    <t>NA</t>
  </si>
  <si>
    <t>Convertible Shares</t>
  </si>
  <si>
    <t>Interest Rate</t>
  </si>
  <si>
    <t>In the Money?</t>
  </si>
  <si>
    <t>LTM Date</t>
  </si>
  <si>
    <t>Last Fiscal Year End</t>
  </si>
  <si>
    <t>Research Report Analyst</t>
  </si>
  <si>
    <t>Deutsche Bank</t>
  </si>
  <si>
    <t>Goldman Sachs</t>
  </si>
  <si>
    <t>Research Report Date</t>
  </si>
  <si>
    <t>Options Data</t>
  </si>
  <si>
    <t>Number of</t>
  </si>
  <si>
    <t>Average</t>
  </si>
  <si>
    <t>Cumulative</t>
  </si>
  <si>
    <t>Treasury</t>
  </si>
  <si>
    <t>Options (m)</t>
  </si>
  <si>
    <t>Strike</t>
  </si>
  <si>
    <t>Strike ($m)</t>
  </si>
  <si>
    <t>Avg. Strike</t>
  </si>
  <si>
    <t>Shares</t>
  </si>
  <si>
    <t>Tranche 1</t>
  </si>
  <si>
    <t>Tranche 2</t>
  </si>
  <si>
    <t>Tranche 3</t>
  </si>
  <si>
    <t>Tranche 4</t>
  </si>
  <si>
    <t>Tranche 5</t>
  </si>
  <si>
    <t>Tranche 6</t>
  </si>
  <si>
    <t>Tranche 7</t>
  </si>
  <si>
    <t>Tranche 8</t>
  </si>
  <si>
    <t>Tranche 9</t>
  </si>
  <si>
    <t>Tranche 10</t>
  </si>
  <si>
    <t>Total</t>
  </si>
  <si>
    <t>M&amp;A Assumptions</t>
  </si>
  <si>
    <t>Consideration</t>
  </si>
  <si>
    <t>Transaction Price</t>
  </si>
  <si>
    <t>Percent Cash Consideration</t>
  </si>
  <si>
    <t>Deal Structure</t>
  </si>
  <si>
    <t>Target LT Debt: 0=refinanced, 1=assumed</t>
  </si>
  <si>
    <t>Acquisition Type: 0=stock, 1=asset</t>
  </si>
  <si>
    <t>Section 338 Election?</t>
  </si>
  <si>
    <t>Acquisition Debt</t>
  </si>
  <si>
    <t>Interest Rate on Debt</t>
  </si>
  <si>
    <t>Amortization Period for New Debt (yrs)</t>
  </si>
  <si>
    <t>Cash</t>
  </si>
  <si>
    <t>Interest Rate on Cash</t>
  </si>
  <si>
    <t>Minimum Cash Balance</t>
  </si>
  <si>
    <t>Fees &amp; Expenses</t>
  </si>
  <si>
    <t>Advisory Fees</t>
  </si>
  <si>
    <t>Financing Fees</t>
  </si>
  <si>
    <t>Synergies</t>
  </si>
  <si>
    <t>Include Synergies?</t>
  </si>
  <si>
    <t>Cost Synergies</t>
  </si>
  <si>
    <t>SG&amp;A Synergies</t>
  </si>
  <si>
    <t>Purchase Price Allocation</t>
  </si>
  <si>
    <t xml:space="preserve">% of Excess PP Allocated to Intangibles </t>
  </si>
  <si>
    <t>Amortization Period (yrs)</t>
  </si>
  <si>
    <t>Step-Up of Target's Fixed Assets</t>
  </si>
  <si>
    <t>Depreciation Period (yrs)</t>
  </si>
  <si>
    <t>Other</t>
  </si>
  <si>
    <t>Tax Rate</t>
  </si>
  <si>
    <t>Calendar Year or Fiscal Year?</t>
  </si>
  <si>
    <t>FY</t>
  </si>
  <si>
    <t>Cash or GAAP?</t>
  </si>
  <si>
    <t>Total Revenue</t>
  </si>
  <si>
    <t>% Growth</t>
  </si>
  <si>
    <t>COGS</t>
  </si>
  <si>
    <t>% of Sales</t>
  </si>
  <si>
    <t>Gross Profit</t>
  </si>
  <si>
    <t>% Margin</t>
  </si>
  <si>
    <t>SG&amp;A</t>
  </si>
  <si>
    <t>EBITDA</t>
  </si>
  <si>
    <t>Depreciation</t>
  </si>
  <si>
    <t>Amortization</t>
  </si>
  <si>
    <t>Total D&amp;A</t>
  </si>
  <si>
    <t>Stock-Based Comp</t>
  </si>
  <si>
    <t>EBIT</t>
  </si>
  <si>
    <t>EBITA</t>
  </si>
  <si>
    <t>Interest (Income) / Expense</t>
  </si>
  <si>
    <t>Equity (Income)</t>
  </si>
  <si>
    <t>Minority Interest</t>
  </si>
  <si>
    <t>Other (Income) / Expense</t>
  </si>
  <si>
    <t>Income Before Taxes</t>
  </si>
  <si>
    <t>Provision for Tax</t>
  </si>
  <si>
    <t>% Tax Rate</t>
  </si>
  <si>
    <t>Cash Net Income</t>
  </si>
  <si>
    <t>Cash Diluted EPS</t>
  </si>
  <si>
    <t>Diluted Shares Out</t>
  </si>
  <si>
    <t>Cash to GAAP Reconciliation:</t>
  </si>
  <si>
    <t>One-Time Charges</t>
  </si>
  <si>
    <t>GAAP Net Income</t>
  </si>
  <si>
    <t>GAAP Diluted EPS</t>
  </si>
  <si>
    <t>Capex</t>
  </si>
  <si>
    <t>CAGR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</si>
</sst>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_);\(0.0%\);0.0%_);@_)"/>
    <numFmt numFmtId="169" formatCode="&quot;$&quot;#,##0.00_);\(&quot;$&quot;#,##0.00\);&quot;$&quot;#,##0.00_);@_)"/>
    <numFmt numFmtId="170" formatCode="&quot;yes&quot;;&quot;ERROR&quot;;&quot;no&quot;;&quot;ERROR&quot;"/>
    <numFmt numFmtId="171" formatCode="#,##0.000_);\(#,##0.000\);#,##0.000_);@_)"/>
    <numFmt numFmtId="172" formatCode="#,##0_);\(#,##0\);#,##0_);@_)"/>
    <numFmt numFmtId="173" formatCode="&quot;$&quot;#,##0.0_);\(&quot;$&quot;#,##0.0\);&quot;$&quot;#,##0.0_);@_)"/>
    <numFmt numFmtId="174" formatCode="#,##0.0_);\(#,##0.0\);#,##0.0_);@_)"/>
    <numFmt numFmtId="175" formatCode="#,##0.00_);\(#,##0.00\);#,##0.00_);@_)"/>
    <numFmt numFmtId="176" formatCode="#,##0.0_);\(#,##0.0\)"/>
    <numFmt numFmtId="177" formatCode="0000\A"/>
    <numFmt numFmtId="178" formatCode="&quot;$&quot;#,##0.0_);\(&quot;$&quot;#,##0.0\)"/>
    <numFmt numFmtId="179" formatCode="0000\P"/>
    <numFmt numFmtId="180" formatCode="0000&quot;E&quot;"/>
  </numFmts>
  <fonts count="22">
    <font>
      <sz val="10"/>
      <name val="Arial"/>
      <family val="0"/>
    </font>
    <font>
      <sz val="18"/>
      <color indexed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sz val="8"/>
      <color indexed="8"/>
      <name val="Tahoma"/>
      <family val="0"/>
    </font>
    <font>
      <i/>
      <sz val="16"/>
      <color indexed="8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4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3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3" fontId="9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3" fontId="7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7" fillId="0" borderId="0" xfId="0" applyNumberFormat="1" applyFont="1" applyAlignment="1">
      <alignment horizontal="right"/>
    </xf>
    <xf numFmtId="169" fontId="7" fillId="0" borderId="0" xfId="0" applyNumberFormat="1" applyFont="1" applyFill="1" applyBorder="1" applyAlignment="1">
      <alignment/>
    </xf>
    <xf numFmtId="168" fontId="7" fillId="0" borderId="0" xfId="0" applyNumberFormat="1" applyFont="1" applyAlignment="1">
      <alignment/>
    </xf>
    <xf numFmtId="170" fontId="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2" xfId="0" applyBorder="1" applyAlignment="1">
      <alignment horizontal="centerContinuous"/>
    </xf>
    <xf numFmtId="169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9" fillId="0" borderId="3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0" borderId="0" xfId="0" applyNumberFormat="1" applyFont="1" applyBorder="1" applyAlignment="1">
      <alignment horizontal="center"/>
    </xf>
    <xf numFmtId="168" fontId="12" fillId="0" borderId="0" xfId="0" applyNumberFormat="1" applyFont="1" applyAlignment="1">
      <alignment/>
    </xf>
    <xf numFmtId="170" fontId="7" fillId="0" borderId="0" xfId="0" applyNumberFormat="1" applyFont="1" applyBorder="1" applyAlignment="1">
      <alignment horizontal="center"/>
    </xf>
    <xf numFmtId="10" fontId="12" fillId="0" borderId="0" xfId="0" applyNumberFormat="1" applyFont="1" applyAlignment="1">
      <alignment/>
    </xf>
    <xf numFmtId="0" fontId="0" fillId="0" borderId="0" xfId="0" applyFill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6" fillId="0" borderId="0" xfId="0" applyFont="1" applyFill="1" applyAlignment="1">
      <alignment horizontal="centerContinuous"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177" fontId="9" fillId="0" borderId="2" xfId="0" applyNumberFormat="1" applyFont="1" applyBorder="1" applyAlignment="1">
      <alignment horizontal="center"/>
    </xf>
    <xf numFmtId="177" fontId="17" fillId="0" borderId="5" xfId="0" applyNumberFormat="1" applyFont="1" applyFill="1" applyBorder="1" applyAlignment="1">
      <alignment horizontal="center"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168" fontId="18" fillId="0" borderId="0" xfId="0" applyNumberFormat="1" applyFont="1" applyAlignment="1">
      <alignment/>
    </xf>
    <xf numFmtId="174" fontId="0" fillId="0" borderId="0" xfId="0" applyNumberFormat="1" applyAlignment="1">
      <alignment/>
    </xf>
    <xf numFmtId="168" fontId="18" fillId="0" borderId="0" xfId="0" applyNumberFormat="1" applyFont="1" applyAlignment="1">
      <alignment horizontal="right"/>
    </xf>
    <xf numFmtId="173" fontId="8" fillId="0" borderId="3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16" fillId="0" borderId="0" xfId="0" applyFont="1" applyBorder="1" applyAlignment="1">
      <alignment/>
    </xf>
    <xf numFmtId="168" fontId="18" fillId="0" borderId="0" xfId="0" applyNumberFormat="1" applyFont="1" applyBorder="1" applyAlignment="1">
      <alignment horizontal="right"/>
    </xf>
    <xf numFmtId="0" fontId="16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74" fontId="0" fillId="0" borderId="0" xfId="0" applyNumberFormat="1" applyBorder="1" applyAlignment="1">
      <alignment/>
    </xf>
    <xf numFmtId="174" fontId="7" fillId="0" borderId="0" xfId="0" applyNumberFormat="1" applyFont="1" applyBorder="1" applyAlignment="1">
      <alignment/>
    </xf>
    <xf numFmtId="17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>
      <alignment/>
    </xf>
    <xf numFmtId="43" fontId="7" fillId="0" borderId="0" xfId="15" applyFont="1" applyAlignment="1">
      <alignment/>
    </xf>
    <xf numFmtId="173" fontId="9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169" fontId="9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174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178" fontId="8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left"/>
    </xf>
    <xf numFmtId="177" fontId="17" fillId="0" borderId="0" xfId="0" applyNumberFormat="1" applyFont="1" applyFill="1" applyBorder="1" applyAlignment="1">
      <alignment horizontal="center"/>
    </xf>
    <xf numFmtId="179" fontId="9" fillId="0" borderId="2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9" fontId="9" fillId="0" borderId="0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3" fontId="8" fillId="0" borderId="0" xfId="15" applyFont="1" applyAlignment="1">
      <alignment/>
    </xf>
    <xf numFmtId="43" fontId="0" fillId="0" borderId="0" xfId="15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3" fontId="9" fillId="0" borderId="3" xfId="0" applyNumberFormat="1" applyFont="1" applyBorder="1" applyAlignment="1">
      <alignment/>
    </xf>
    <xf numFmtId="168" fontId="12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177" fontId="6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17" fillId="0" borderId="2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right"/>
    </xf>
    <xf numFmtId="174" fontId="7" fillId="0" borderId="0" xfId="15" applyNumberFormat="1" applyFont="1" applyAlignment="1">
      <alignment/>
    </xf>
    <xf numFmtId="171" fontId="2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Administrator\My%20Documents\M&amp;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erger --&gt;&gt;"/>
      <sheetName val="Contribution"/>
      <sheetName val="Acc-Dil"/>
      <sheetName val="PPR"/>
      <sheetName val="S&amp;U"/>
      <sheetName val="GAAP"/>
      <sheetName val="Pro Forma --&gt;&gt;"/>
      <sheetName val="BS"/>
      <sheetName val="IS"/>
      <sheetName val="Inputs --&gt;&gt;"/>
      <sheetName val="Acquirer"/>
      <sheetName val="Target"/>
      <sheetName val="Valuation --&gt;&gt;"/>
      <sheetName val="LBO"/>
      <sheetName val="DCF"/>
    </sheetNames>
    <sheetDataSet>
      <sheetData sheetId="14">
        <row r="34">
          <cell r="AF34">
            <v>0.0278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9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9.7109375" style="0" customWidth="1"/>
    <col min="13" max="13" width="1.7109375" style="0" customWidth="1"/>
    <col min="14" max="14" width="9.7109375" style="0" customWidth="1"/>
    <col min="15" max="15" width="1.7109375" style="0" customWidth="1"/>
  </cols>
  <sheetData>
    <row r="1" spans="1:20" ht="24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2.75">
      <c r="A2" s="3" t="s">
        <v>1</v>
      </c>
    </row>
    <row r="4" spans="1:20" ht="12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56</v>
      </c>
      <c r="Q4" s="5"/>
      <c r="R4" s="5"/>
      <c r="S4" s="5"/>
      <c r="T4" s="5"/>
    </row>
    <row r="6" spans="1:16" ht="13.5" customHeight="1" thickBot="1">
      <c r="A6" s="6"/>
      <c r="H6" s="7" t="s">
        <v>3</v>
      </c>
      <c r="I6" s="7"/>
      <c r="J6" s="7"/>
      <c r="L6" s="7" t="s">
        <v>4</v>
      </c>
      <c r="M6" s="7"/>
      <c r="N6" s="7"/>
      <c r="P6" s="41" t="s">
        <v>57</v>
      </c>
    </row>
    <row r="7" spans="12:20" ht="12.75">
      <c r="L7" s="8"/>
      <c r="M7" s="8"/>
      <c r="N7" s="8"/>
      <c r="P7" t="s">
        <v>58</v>
      </c>
      <c r="T7" s="42">
        <v>3</v>
      </c>
    </row>
    <row r="8" spans="1:20" ht="12.75">
      <c r="A8" t="s">
        <v>5</v>
      </c>
      <c r="H8" s="40" t="s">
        <v>6</v>
      </c>
      <c r="I8" s="40"/>
      <c r="J8" s="40"/>
      <c r="K8" s="18"/>
      <c r="L8" s="40" t="s">
        <v>7</v>
      </c>
      <c r="M8" s="8"/>
      <c r="N8" s="8"/>
      <c r="P8" t="s">
        <v>59</v>
      </c>
      <c r="T8" s="43">
        <v>0.4</v>
      </c>
    </row>
    <row r="9" spans="1:14" ht="12.75">
      <c r="A9" t="s">
        <v>8</v>
      </c>
      <c r="H9" s="40" t="s">
        <v>9</v>
      </c>
      <c r="I9" s="40"/>
      <c r="J9" s="40"/>
      <c r="K9" s="18"/>
      <c r="L9" s="40" t="s">
        <v>10</v>
      </c>
      <c r="M9" s="8"/>
      <c r="N9" s="8"/>
    </row>
    <row r="10" ht="12.75">
      <c r="P10" s="41" t="s">
        <v>60</v>
      </c>
    </row>
    <row r="11" spans="1:20" ht="12.75">
      <c r="A11" t="s">
        <v>11</v>
      </c>
      <c r="H11" s="9">
        <v>39585</v>
      </c>
      <c r="I11" s="10"/>
      <c r="J11" s="10">
        <v>31.75</v>
      </c>
      <c r="L11" s="11">
        <f>H11</f>
        <v>39585</v>
      </c>
      <c r="N11" s="10">
        <v>12.81</v>
      </c>
      <c r="P11" t="s">
        <v>61</v>
      </c>
      <c r="T11" s="42">
        <v>1</v>
      </c>
    </row>
    <row r="12" spans="1:20" ht="12.75">
      <c r="A12" t="s">
        <v>12</v>
      </c>
      <c r="H12" s="9">
        <v>39540</v>
      </c>
      <c r="J12" s="10">
        <v>40.36</v>
      </c>
      <c r="L12" s="9">
        <v>39237</v>
      </c>
      <c r="N12" s="10">
        <v>28.22</v>
      </c>
      <c r="P12" t="s">
        <v>62</v>
      </c>
      <c r="T12" s="42">
        <v>0</v>
      </c>
    </row>
    <row r="13" spans="1:20" ht="12.75">
      <c r="A13" t="s">
        <v>13</v>
      </c>
      <c r="H13" s="9">
        <v>39318</v>
      </c>
      <c r="J13" s="10">
        <v>27.18</v>
      </c>
      <c r="L13" s="9">
        <v>38881</v>
      </c>
      <c r="N13" s="10">
        <v>10.49</v>
      </c>
      <c r="P13" t="s">
        <v>63</v>
      </c>
      <c r="T13" s="44">
        <v>0</v>
      </c>
    </row>
    <row r="15" spans="1:16" ht="12.75">
      <c r="A15" t="s">
        <v>14</v>
      </c>
      <c r="J15" s="12">
        <v>207.05</v>
      </c>
      <c r="L15" s="13"/>
      <c r="N15" s="12">
        <v>34.922</v>
      </c>
      <c r="P15" s="41" t="s">
        <v>64</v>
      </c>
    </row>
    <row r="16" spans="1:20" ht="12.75">
      <c r="A16" t="s">
        <v>15</v>
      </c>
      <c r="J16" s="14">
        <f>N52</f>
        <v>2.8993685039370076</v>
      </c>
      <c r="L16" s="13"/>
      <c r="N16" s="14">
        <f>N67</f>
        <v>0.09920608899297431</v>
      </c>
      <c r="P16" t="s">
        <v>65</v>
      </c>
      <c r="T16" s="45">
        <v>0.06</v>
      </c>
    </row>
    <row r="17" spans="1:20" ht="13.5" customHeight="1" thickBot="1">
      <c r="A17" t="s">
        <v>16</v>
      </c>
      <c r="J17" s="14">
        <f>H29*H27+J29*J27</f>
        <v>0</v>
      </c>
      <c r="L17" s="13"/>
      <c r="N17" s="14">
        <f>L29*L27+N29*N27</f>
        <v>0</v>
      </c>
      <c r="P17" s="46" t="s">
        <v>66</v>
      </c>
      <c r="Q17" s="46"/>
      <c r="R17" s="46"/>
      <c r="S17" s="46"/>
      <c r="T17" s="47">
        <v>7</v>
      </c>
    </row>
    <row r="18" spans="1:14" ht="12.75">
      <c r="A18" t="s">
        <v>17</v>
      </c>
      <c r="J18" s="15">
        <f>SUM(J15:J17)</f>
        <v>209.94936850393702</v>
      </c>
      <c r="N18" s="15">
        <f>SUM(N15:N17)</f>
        <v>35.02120608899297</v>
      </c>
    </row>
    <row r="19" ht="12.75">
      <c r="P19" s="41" t="s">
        <v>67</v>
      </c>
    </row>
    <row r="20" spans="1:20" ht="12.75">
      <c r="A20" t="s">
        <v>18</v>
      </c>
      <c r="J20" s="16">
        <f>acq_price*J18</f>
        <v>6665.89245</v>
      </c>
      <c r="N20" s="16">
        <f>tgt_price*N18</f>
        <v>448.62164999999993</v>
      </c>
      <c r="P20" s="48" t="s">
        <v>68</v>
      </c>
      <c r="T20" s="43">
        <v>0.02</v>
      </c>
    </row>
    <row r="21" spans="1:20" ht="13.5" customHeight="1" thickBot="1">
      <c r="A21" t="s">
        <v>19</v>
      </c>
      <c r="J21" s="17">
        <v>-729.619</v>
      </c>
      <c r="K21" s="18"/>
      <c r="L21" s="18"/>
      <c r="M21" s="18"/>
      <c r="N21" s="17">
        <v>83.394</v>
      </c>
      <c r="P21" t="s">
        <v>69</v>
      </c>
      <c r="T21" s="49">
        <v>100</v>
      </c>
    </row>
    <row r="22" spans="1:14" ht="13.5" customHeight="1" thickBot="1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20">
        <f>SUM(J20:J21)</f>
        <v>5936.273450000001</v>
      </c>
      <c r="K22" s="19"/>
      <c r="L22" s="19"/>
      <c r="M22" s="19"/>
      <c r="N22" s="20">
        <f>SUM(N20:N21)</f>
        <v>532.0156499999999</v>
      </c>
    </row>
    <row r="23" ht="13.5" customHeight="1" thickTop="1">
      <c r="P23" s="41" t="s">
        <v>70</v>
      </c>
    </row>
    <row r="24" spans="8:20" ht="13.5" customHeight="1" thickBot="1">
      <c r="H24" s="21" t="s">
        <v>21</v>
      </c>
      <c r="I24" s="22"/>
      <c r="J24" s="21" t="s">
        <v>22</v>
      </c>
      <c r="L24" s="21" t="s">
        <v>21</v>
      </c>
      <c r="N24" s="21" t="s">
        <v>22</v>
      </c>
      <c r="P24" t="s">
        <v>71</v>
      </c>
      <c r="T24" s="23">
        <v>30</v>
      </c>
    </row>
    <row r="25" spans="1:20" ht="12.75">
      <c r="A25" t="s">
        <v>23</v>
      </c>
      <c r="H25" s="23">
        <v>450</v>
      </c>
      <c r="J25" s="23">
        <v>0</v>
      </c>
      <c r="L25" s="23">
        <v>230</v>
      </c>
      <c r="N25" s="23">
        <v>0</v>
      </c>
      <c r="P25" t="s">
        <v>72</v>
      </c>
      <c r="T25" s="43">
        <v>0.01</v>
      </c>
    </row>
    <row r="26" spans="1:14" ht="12.75" customHeight="1">
      <c r="A26" t="s">
        <v>24</v>
      </c>
      <c r="H26" s="10">
        <v>43.12</v>
      </c>
      <c r="I26" s="24"/>
      <c r="J26" s="25" t="s">
        <v>25</v>
      </c>
      <c r="L26" s="26">
        <v>26.77</v>
      </c>
      <c r="N26" s="25" t="s">
        <v>25</v>
      </c>
    </row>
    <row r="27" spans="1:16" ht="12.75">
      <c r="A27" t="s">
        <v>26</v>
      </c>
      <c r="H27" s="14">
        <f>IF(ISERROR(H25/H26),0,H25/H26)</f>
        <v>10.435992578849723</v>
      </c>
      <c r="J27" s="14">
        <f>IF(ISERROR(J25/J26),0,J25/J26)</f>
        <v>0</v>
      </c>
      <c r="L27" s="14">
        <f>IF(ISERROR(L25/L26),0,L25/L26)</f>
        <v>8.591707134852447</v>
      </c>
      <c r="N27" s="14">
        <f>IF(ISERROR(N25/N26),0,N25/N26)</f>
        <v>0</v>
      </c>
      <c r="P27" s="41" t="s">
        <v>73</v>
      </c>
    </row>
    <row r="28" spans="1:20" ht="12.75">
      <c r="A28" t="s">
        <v>27</v>
      </c>
      <c r="H28" s="27">
        <v>0.005</v>
      </c>
      <c r="J28" s="27">
        <v>0</v>
      </c>
      <c r="L28" s="27">
        <v>0.025</v>
      </c>
      <c r="N28" s="27">
        <v>0</v>
      </c>
      <c r="P28" t="s">
        <v>74</v>
      </c>
      <c r="T28" s="44">
        <v>1</v>
      </c>
    </row>
    <row r="29" spans="1:20" ht="12.75" customHeight="1">
      <c r="A29" t="s">
        <v>28</v>
      </c>
      <c r="H29" s="28">
        <f>IF(H26&gt;acq_price,0,1)</f>
        <v>0</v>
      </c>
      <c r="I29" s="29"/>
      <c r="J29" s="28">
        <f>IF(J26&gt;acq_price,0,1)</f>
        <v>0</v>
      </c>
      <c r="L29" s="28">
        <f>IF(L26&gt;tgt_price,0,1)</f>
        <v>0</v>
      </c>
      <c r="N29" s="28">
        <f>IF(N26&gt;tgt_price,0,1)</f>
        <v>0</v>
      </c>
      <c r="P29" t="s">
        <v>75</v>
      </c>
      <c r="T29" s="23">
        <v>25</v>
      </c>
    </row>
    <row r="30" spans="16:20" ht="12.75">
      <c r="P30" t="s">
        <v>76</v>
      </c>
      <c r="T30" s="23">
        <v>50</v>
      </c>
    </row>
    <row r="31" spans="1:14" ht="12.75">
      <c r="A31" t="s">
        <v>29</v>
      </c>
      <c r="H31" s="30">
        <v>39538</v>
      </c>
      <c r="I31" s="8"/>
      <c r="J31" s="8"/>
      <c r="L31" s="30">
        <v>39538</v>
      </c>
      <c r="M31" s="8"/>
      <c r="N31" s="8"/>
    </row>
    <row r="32" spans="1:16" ht="12.75">
      <c r="A32" t="s">
        <v>30</v>
      </c>
      <c r="H32" s="30">
        <v>39355</v>
      </c>
      <c r="I32" s="8"/>
      <c r="J32" s="8"/>
      <c r="L32" s="30">
        <v>39447</v>
      </c>
      <c r="M32" s="8"/>
      <c r="N32" s="8"/>
      <c r="P32" s="41" t="s">
        <v>77</v>
      </c>
    </row>
    <row r="33" spans="8:20" ht="12.75">
      <c r="H33" s="31"/>
      <c r="I33" s="8"/>
      <c r="J33" s="8"/>
      <c r="L33" s="31"/>
      <c r="M33" s="8"/>
      <c r="N33" s="8"/>
      <c r="P33" t="s">
        <v>78</v>
      </c>
      <c r="T33" s="50">
        <v>0.25</v>
      </c>
    </row>
    <row r="34" spans="1:20" ht="12.75">
      <c r="A34" t="s">
        <v>31</v>
      </c>
      <c r="H34" s="40" t="s">
        <v>32</v>
      </c>
      <c r="I34" s="40"/>
      <c r="J34" s="40"/>
      <c r="K34" s="18"/>
      <c r="L34" s="40" t="s">
        <v>33</v>
      </c>
      <c r="M34" s="40"/>
      <c r="N34" s="8"/>
      <c r="P34" t="s">
        <v>79</v>
      </c>
      <c r="T34" s="51">
        <v>5</v>
      </c>
    </row>
    <row r="35" spans="1:20" ht="12.75">
      <c r="A35" t="s">
        <v>34</v>
      </c>
      <c r="H35" s="30">
        <v>39562</v>
      </c>
      <c r="I35" s="40"/>
      <c r="J35" s="40"/>
      <c r="K35" s="18"/>
      <c r="L35" s="30">
        <v>39565</v>
      </c>
      <c r="M35" s="40"/>
      <c r="N35" s="8"/>
      <c r="P35" t="s">
        <v>80</v>
      </c>
      <c r="T35" s="49">
        <v>15</v>
      </c>
    </row>
    <row r="36" spans="14:20" ht="12.75">
      <c r="N36" s="31"/>
      <c r="P36" t="s">
        <v>81</v>
      </c>
      <c r="T36" s="52">
        <v>10</v>
      </c>
    </row>
    <row r="37" spans="1:14" ht="12.75">
      <c r="A37" s="4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2.75">
      <c r="P38" s="41" t="s">
        <v>82</v>
      </c>
    </row>
    <row r="39" spans="4:20" ht="13.5" customHeight="1" thickBot="1">
      <c r="D39" s="7" t="str">
        <f>acq</f>
        <v>BuyerCo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P39" t="s">
        <v>83</v>
      </c>
      <c r="T39" s="53"/>
    </row>
    <row r="40" spans="4:20" ht="12.75">
      <c r="D40" s="22" t="s">
        <v>36</v>
      </c>
      <c r="F40" s="22" t="s">
        <v>37</v>
      </c>
      <c r="H40" s="22" t="s">
        <v>38</v>
      </c>
      <c r="J40" s="22" t="s">
        <v>38</v>
      </c>
      <c r="L40" s="22" t="s">
        <v>38</v>
      </c>
      <c r="N40" s="22" t="s">
        <v>39</v>
      </c>
      <c r="P40" t="s">
        <v>84</v>
      </c>
      <c r="Q40" s="54"/>
      <c r="R40" s="54"/>
      <c r="S40" s="54"/>
      <c r="T40" s="42" t="s">
        <v>85</v>
      </c>
    </row>
    <row r="41" spans="4:20" ht="13.5" customHeight="1" thickBot="1">
      <c r="D41" s="21" t="s">
        <v>40</v>
      </c>
      <c r="F41" s="21" t="s">
        <v>41</v>
      </c>
      <c r="H41" s="21" t="s">
        <v>40</v>
      </c>
      <c r="J41" s="21" t="s">
        <v>42</v>
      </c>
      <c r="L41" s="21" t="s">
        <v>43</v>
      </c>
      <c r="N41" s="21" t="s">
        <v>44</v>
      </c>
      <c r="P41" t="s">
        <v>86</v>
      </c>
      <c r="Q41" s="54"/>
      <c r="R41" s="54"/>
      <c r="S41" s="54"/>
      <c r="T41" s="42" t="s">
        <v>67</v>
      </c>
    </row>
    <row r="42" spans="1:14" ht="12.75">
      <c r="A42" t="s">
        <v>45</v>
      </c>
      <c r="D42" s="12">
        <v>0.27</v>
      </c>
      <c r="F42" s="10">
        <v>2.31</v>
      </c>
      <c r="H42" s="14">
        <f>D42</f>
        <v>0.27</v>
      </c>
      <c r="J42" s="16">
        <f>F42*D42</f>
        <v>0.6237</v>
      </c>
      <c r="L42" s="33">
        <f aca="true" t="shared" si="0" ref="L42:L51">J42/H42</f>
        <v>2.31</v>
      </c>
      <c r="N42" s="14">
        <f aca="true" t="shared" si="1" ref="N42:N51">IF(F42&lt;acq_price,D42-D42*F42/acq_price,0)</f>
        <v>0.250355905511811</v>
      </c>
    </row>
    <row r="43" spans="1:14" ht="12.75">
      <c r="A43" t="s">
        <v>46</v>
      </c>
      <c r="D43" s="12">
        <v>1.548</v>
      </c>
      <c r="F43" s="34">
        <v>12.31</v>
      </c>
      <c r="H43" s="14">
        <f aca="true" t="shared" si="2" ref="H43:H51">H42+D43</f>
        <v>1.818</v>
      </c>
      <c r="J43" s="35">
        <f>SUMPRODUCT(F$42:F43,D$42:D43)</f>
        <v>19.67958</v>
      </c>
      <c r="L43" s="36">
        <f t="shared" si="0"/>
        <v>10.824851485148516</v>
      </c>
      <c r="N43" s="14">
        <f t="shared" si="1"/>
        <v>0.9478148031496063</v>
      </c>
    </row>
    <row r="44" spans="1:14" ht="12.75" customHeight="1">
      <c r="A44" t="s">
        <v>47</v>
      </c>
      <c r="D44" s="12">
        <v>2.855</v>
      </c>
      <c r="F44" s="34">
        <v>22</v>
      </c>
      <c r="H44" s="14">
        <f t="shared" si="2"/>
        <v>4.673</v>
      </c>
      <c r="J44" s="35">
        <f>SUMPRODUCT(F$42:F44,D$42:D44)</f>
        <v>82.48958</v>
      </c>
      <c r="L44" s="36">
        <f t="shared" si="0"/>
        <v>17.652381767601113</v>
      </c>
      <c r="N44" s="14">
        <f t="shared" si="1"/>
        <v>0.8767322834645668</v>
      </c>
    </row>
    <row r="45" spans="1:14" ht="12.75">
      <c r="A45" t="s">
        <v>48</v>
      </c>
      <c r="D45" s="12">
        <v>2.431</v>
      </c>
      <c r="F45" s="34">
        <v>25.07</v>
      </c>
      <c r="H45" s="14">
        <f t="shared" si="2"/>
        <v>7.104</v>
      </c>
      <c r="J45" s="35">
        <f>SUMPRODUCT(F$42:F45,D$42:D45)</f>
        <v>143.43475</v>
      </c>
      <c r="L45" s="36">
        <f t="shared" si="0"/>
        <v>20.19070242117117</v>
      </c>
      <c r="N45" s="14">
        <f t="shared" si="1"/>
        <v>0.5114670866141731</v>
      </c>
    </row>
    <row r="46" spans="1:14" ht="12.75">
      <c r="A46" t="s">
        <v>49</v>
      </c>
      <c r="D46" s="12">
        <v>2.182</v>
      </c>
      <c r="F46" s="34">
        <v>27.88</v>
      </c>
      <c r="H46" s="14">
        <f t="shared" si="2"/>
        <v>9.286</v>
      </c>
      <c r="J46" s="35">
        <f>SUMPRODUCT(F$42:F46,D$42:D46)</f>
        <v>204.26891</v>
      </c>
      <c r="L46" s="36">
        <f t="shared" si="0"/>
        <v>21.997513461124274</v>
      </c>
      <c r="N46" s="14">
        <f t="shared" si="1"/>
        <v>0.2659634645669291</v>
      </c>
    </row>
    <row r="47" spans="1:14" ht="12.75">
      <c r="A47" t="s">
        <v>50</v>
      </c>
      <c r="D47" s="12">
        <v>3.394</v>
      </c>
      <c r="F47" s="34">
        <v>31.31</v>
      </c>
      <c r="H47" s="14">
        <f t="shared" si="2"/>
        <v>12.68</v>
      </c>
      <c r="J47" s="35">
        <f>SUMPRODUCT(F$42:F47,D$42:D47)</f>
        <v>310.53505</v>
      </c>
      <c r="L47" s="36">
        <f t="shared" si="0"/>
        <v>24.49014589905363</v>
      </c>
      <c r="N47" s="14">
        <f t="shared" si="1"/>
        <v>0.04703496062992141</v>
      </c>
    </row>
    <row r="48" spans="1:14" ht="12.75">
      <c r="A48" t="s">
        <v>51</v>
      </c>
      <c r="D48" s="12">
        <v>2.678</v>
      </c>
      <c r="F48" s="34">
        <v>34.35</v>
      </c>
      <c r="H48" s="14">
        <f t="shared" si="2"/>
        <v>15.358</v>
      </c>
      <c r="J48" s="35">
        <f>SUMPRODUCT(F$42:F48,D$42:D48)</f>
        <v>402.52435</v>
      </c>
      <c r="L48" s="36">
        <f t="shared" si="0"/>
        <v>26.20942505534575</v>
      </c>
      <c r="N48" s="14">
        <f t="shared" si="1"/>
        <v>0</v>
      </c>
    </row>
    <row r="49" spans="1:14" ht="12.75">
      <c r="A49" t="s">
        <v>52</v>
      </c>
      <c r="D49" s="12">
        <v>2.138</v>
      </c>
      <c r="F49" s="34">
        <v>38.63</v>
      </c>
      <c r="H49" s="14">
        <f t="shared" si="2"/>
        <v>17.496000000000002</v>
      </c>
      <c r="J49" s="35">
        <f>SUMPRODUCT(F$42:F49,D$42:D49)</f>
        <v>485.11529</v>
      </c>
      <c r="L49" s="36">
        <f t="shared" si="0"/>
        <v>27.727211362597163</v>
      </c>
      <c r="N49" s="14">
        <f t="shared" si="1"/>
        <v>0</v>
      </c>
    </row>
    <row r="50" spans="1:14" ht="12.75">
      <c r="A50" t="s">
        <v>53</v>
      </c>
      <c r="D50" s="12">
        <v>2.631</v>
      </c>
      <c r="F50" s="34">
        <v>52.72</v>
      </c>
      <c r="H50" s="14">
        <f t="shared" si="2"/>
        <v>20.127000000000002</v>
      </c>
      <c r="J50" s="35">
        <f>SUMPRODUCT(F$42:F50,D$42:D50)</f>
        <v>623.82161</v>
      </c>
      <c r="L50" s="36">
        <f t="shared" si="0"/>
        <v>30.994266905152276</v>
      </c>
      <c r="N50" s="14">
        <f t="shared" si="1"/>
        <v>0</v>
      </c>
    </row>
    <row r="51" spans="1:14" ht="13.5" customHeight="1" thickBot="1">
      <c r="A51" t="s">
        <v>54</v>
      </c>
      <c r="D51" s="12">
        <v>0.329</v>
      </c>
      <c r="F51" s="34">
        <v>70</v>
      </c>
      <c r="H51" s="14">
        <f t="shared" si="2"/>
        <v>20.456000000000003</v>
      </c>
      <c r="J51" s="35">
        <f>SUMPRODUCT(F$42:F51,D$42:D51)</f>
        <v>646.8516099999999</v>
      </c>
      <c r="L51" s="36">
        <f t="shared" si="0"/>
        <v>31.62160784122017</v>
      </c>
      <c r="N51" s="14">
        <f t="shared" si="1"/>
        <v>0</v>
      </c>
    </row>
    <row r="52" spans="7:14" ht="12.75">
      <c r="G52" s="19"/>
      <c r="H52" s="19"/>
      <c r="I52" s="19"/>
      <c r="J52" s="19"/>
      <c r="K52" s="19"/>
      <c r="L52" s="37" t="s">
        <v>55</v>
      </c>
      <c r="M52" s="19"/>
      <c r="N52" s="38">
        <f>SUM(N42:N51)</f>
        <v>2.8993685039370076</v>
      </c>
    </row>
    <row r="54" spans="4:14" ht="13.5" customHeight="1" thickBot="1">
      <c r="D54" s="7" t="str">
        <f>tgt</f>
        <v>TargetCo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4:14" ht="12.75">
      <c r="D55" s="39" t="s">
        <v>36</v>
      </c>
      <c r="F55" s="22" t="s">
        <v>37</v>
      </c>
      <c r="H55" s="22" t="s">
        <v>38</v>
      </c>
      <c r="J55" s="22" t="s">
        <v>38</v>
      </c>
      <c r="L55" s="22" t="s">
        <v>38</v>
      </c>
      <c r="N55" s="22" t="s">
        <v>39</v>
      </c>
    </row>
    <row r="56" spans="4:14" ht="13.5" customHeight="1" thickBot="1">
      <c r="D56" s="21" t="s">
        <v>40</v>
      </c>
      <c r="F56" s="21" t="s">
        <v>41</v>
      </c>
      <c r="H56" s="21" t="s">
        <v>40</v>
      </c>
      <c r="J56" s="21" t="s">
        <v>42</v>
      </c>
      <c r="L56" s="21" t="s">
        <v>43</v>
      </c>
      <c r="N56" s="21" t="s">
        <v>44</v>
      </c>
    </row>
    <row r="57" spans="1:14" ht="12.75">
      <c r="A57" t="s">
        <v>45</v>
      </c>
      <c r="D57" s="12">
        <v>0.209</v>
      </c>
      <c r="F57" s="10">
        <v>9.04</v>
      </c>
      <c r="H57" s="14">
        <f>D57</f>
        <v>0.209</v>
      </c>
      <c r="J57" s="16">
        <f>F57*D57</f>
        <v>1.8893599999999997</v>
      </c>
      <c r="L57" s="33">
        <f aca="true" t="shared" si="3" ref="L57:L66">J57/H57</f>
        <v>9.04</v>
      </c>
      <c r="N57" s="14">
        <f aca="true" t="shared" si="4" ref="N57:N66">IF(F57&lt;tgt_price,D57-D57*F57/tgt_price,0)</f>
        <v>0.0615089773614364</v>
      </c>
    </row>
    <row r="58" spans="1:14" ht="12.75">
      <c r="A58" t="s">
        <v>46</v>
      </c>
      <c r="D58" s="12">
        <v>0.059</v>
      </c>
      <c r="F58" s="34">
        <v>10.03</v>
      </c>
      <c r="H58" s="14">
        <f aca="true" t="shared" si="5" ref="H58:H66">H57+D58</f>
        <v>0.268</v>
      </c>
      <c r="J58" s="35">
        <f>SUMPRODUCT(F$57:F58,D$57:D58)</f>
        <v>2.4811299999999994</v>
      </c>
      <c r="L58" s="36">
        <f t="shared" si="3"/>
        <v>9.257947761194027</v>
      </c>
      <c r="N58" s="14">
        <f t="shared" si="4"/>
        <v>0.012804059328649496</v>
      </c>
    </row>
    <row r="59" spans="1:14" ht="12.75">
      <c r="A59" t="s">
        <v>47</v>
      </c>
      <c r="D59" s="12">
        <v>0.221</v>
      </c>
      <c r="F59" s="34">
        <v>11.53</v>
      </c>
      <c r="H59" s="14">
        <f t="shared" si="5"/>
        <v>0.489</v>
      </c>
      <c r="J59" s="35">
        <f>SUMPRODUCT(F$57:F59,D$57:D59)</f>
        <v>5.029259999999999</v>
      </c>
      <c r="L59" s="36">
        <f t="shared" si="3"/>
        <v>10.284785276073618</v>
      </c>
      <c r="N59" s="14">
        <f t="shared" si="4"/>
        <v>0.02208274785323966</v>
      </c>
    </row>
    <row r="60" spans="1:14" ht="12.75">
      <c r="A60" t="s">
        <v>48</v>
      </c>
      <c r="D60" s="12">
        <v>0.3</v>
      </c>
      <c r="F60" s="34">
        <v>12.69</v>
      </c>
      <c r="H60" s="14">
        <f t="shared" si="5"/>
        <v>0.7889999999999999</v>
      </c>
      <c r="J60" s="35">
        <f>SUMPRODUCT(F$57:F60,D$57:D60)</f>
        <v>8.83626</v>
      </c>
      <c r="L60" s="36">
        <f t="shared" si="3"/>
        <v>11.199315589353612</v>
      </c>
      <c r="N60" s="14">
        <f t="shared" si="4"/>
        <v>0.0028103044496487484</v>
      </c>
    </row>
    <row r="61" spans="1:14" ht="12.75">
      <c r="A61" t="s">
        <v>49</v>
      </c>
      <c r="D61" s="12">
        <v>0.269</v>
      </c>
      <c r="F61" s="34">
        <v>19.54</v>
      </c>
      <c r="H61" s="14">
        <f t="shared" si="5"/>
        <v>1.0579999999999998</v>
      </c>
      <c r="J61" s="35">
        <f>SUMPRODUCT(F$57:F61,D$57:D61)</f>
        <v>14.09252</v>
      </c>
      <c r="L61" s="36">
        <f t="shared" si="3"/>
        <v>13.319962192816638</v>
      </c>
      <c r="N61" s="14">
        <f t="shared" si="4"/>
        <v>0</v>
      </c>
    </row>
    <row r="62" spans="1:14" ht="12.75">
      <c r="A62" t="s">
        <v>50</v>
      </c>
      <c r="D62" s="12">
        <v>0.211</v>
      </c>
      <c r="F62" s="34">
        <v>27.06</v>
      </c>
      <c r="H62" s="14">
        <f t="shared" si="5"/>
        <v>1.269</v>
      </c>
      <c r="J62" s="35">
        <f>SUMPRODUCT(F$57:F62,D$57:D62)</f>
        <v>19.80218</v>
      </c>
      <c r="L62" s="36">
        <f t="shared" si="3"/>
        <v>15.604554767533491</v>
      </c>
      <c r="N62" s="14">
        <f t="shared" si="4"/>
        <v>0</v>
      </c>
    </row>
    <row r="63" spans="1:14" ht="12.75">
      <c r="A63" t="s">
        <v>51</v>
      </c>
      <c r="D63" s="12">
        <v>0.187</v>
      </c>
      <c r="F63" s="34">
        <v>45.75</v>
      </c>
      <c r="H63" s="14">
        <f t="shared" si="5"/>
        <v>1.456</v>
      </c>
      <c r="J63" s="35">
        <f>SUMPRODUCT(F$57:F63,D$57:D63)</f>
        <v>28.35743</v>
      </c>
      <c r="L63" s="36">
        <f t="shared" si="3"/>
        <v>19.47625686813187</v>
      </c>
      <c r="N63" s="14">
        <f t="shared" si="4"/>
        <v>0</v>
      </c>
    </row>
    <row r="64" spans="1:14" ht="12.75">
      <c r="A64" t="s">
        <v>52</v>
      </c>
      <c r="D64" s="12">
        <v>0</v>
      </c>
      <c r="F64" s="34">
        <v>0</v>
      </c>
      <c r="H64" s="14">
        <f t="shared" si="5"/>
        <v>1.456</v>
      </c>
      <c r="J64" s="35">
        <f>SUMPRODUCT(F$57:F64,D$57:D64)</f>
        <v>28.35743</v>
      </c>
      <c r="L64" s="36">
        <f t="shared" si="3"/>
        <v>19.47625686813187</v>
      </c>
      <c r="N64" s="14">
        <f t="shared" si="4"/>
        <v>0</v>
      </c>
    </row>
    <row r="65" spans="1:14" ht="12.75">
      <c r="A65" t="s">
        <v>53</v>
      </c>
      <c r="D65" s="12">
        <v>0</v>
      </c>
      <c r="F65" s="34">
        <v>0</v>
      </c>
      <c r="H65" s="14">
        <f t="shared" si="5"/>
        <v>1.456</v>
      </c>
      <c r="J65" s="35">
        <f>SUMPRODUCT(F$57:F65,D$57:D65)</f>
        <v>28.35743</v>
      </c>
      <c r="L65" s="36">
        <f t="shared" si="3"/>
        <v>19.47625686813187</v>
      </c>
      <c r="N65" s="14">
        <f t="shared" si="4"/>
        <v>0</v>
      </c>
    </row>
    <row r="66" spans="1:14" ht="13.5" customHeight="1" thickBot="1">
      <c r="A66" t="s">
        <v>54</v>
      </c>
      <c r="D66" s="12">
        <v>0</v>
      </c>
      <c r="F66" s="34">
        <v>0</v>
      </c>
      <c r="H66" s="14">
        <f t="shared" si="5"/>
        <v>1.456</v>
      </c>
      <c r="J66" s="35">
        <f>SUMPRODUCT(F$57:F66,D$57:D66)</f>
        <v>28.35743</v>
      </c>
      <c r="L66" s="36">
        <f t="shared" si="3"/>
        <v>19.47625686813187</v>
      </c>
      <c r="N66" s="14">
        <f t="shared" si="4"/>
        <v>0</v>
      </c>
    </row>
    <row r="67" spans="7:14" ht="12.75">
      <c r="G67" s="19"/>
      <c r="H67" s="19"/>
      <c r="I67" s="19"/>
      <c r="J67" s="19"/>
      <c r="K67" s="19"/>
      <c r="L67" s="37" t="s">
        <v>55</v>
      </c>
      <c r="M67" s="19"/>
      <c r="N67" s="38">
        <f>SUM(N57:N66)</f>
        <v>0.09920608899297431</v>
      </c>
    </row>
  </sheetData>
  <conditionalFormatting sqref="N29 L29 H29:J29 T28 T13">
    <cfRule type="cellIs" priority="1" dxfId="0" operator="greaterThan" stopIfTrue="1">
      <formula>1</formula>
    </cfRule>
    <cfRule type="cellIs" priority="2" dxfId="0" operator="between" stopIfTrue="1">
      <formula>0.00001</formula>
      <formula>0.99999</formula>
    </cfRule>
    <cfRule type="cellIs" priority="3" dxfId="0" operator="lessThan" stopIfTrue="1">
      <formula>0</formula>
    </cfRule>
  </conditionalFormatting>
  <dataValidations count="5">
    <dataValidation type="whole" allowBlank="1" showInputMessage="1" showErrorMessage="1" prompt="Please enter an integer between 1 and 7." errorTitle="ERROR" error="Please enter an integer between 1 and 7." sqref="T7">
      <formula1>1</formula1>
      <formula2>7</formula2>
    </dataValidation>
    <dataValidation type="whole" allowBlank="1" showInputMessage="1" showErrorMessage="1" sqref="T11:T12">
      <formula1>0</formula1>
      <formula2>1</formula2>
    </dataValidation>
    <dataValidation type="whole" allowBlank="1" showInputMessage="1" showErrorMessage="1" prompt="Enter either 0 or 1." errorTitle="ERROR" error="Enter either 0 or 1." sqref="T28 T13">
      <formula1>0</formula1>
      <formula2>1</formula2>
    </dataValidation>
    <dataValidation type="list" allowBlank="1" showInputMessage="1" showErrorMessage="1" sqref="T40">
      <formula1>"FY,CY"</formula1>
    </dataValidation>
    <dataValidation type="list" allowBlank="1" showInputMessage="1" showErrorMessage="1" sqref="T41">
      <formula1>"Cash,GAAP"</formula1>
    </dataValidation>
  </dataValidation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90" zoomScaleNormal="90" workbookViewId="0" topLeftCell="A1">
      <selection activeCell="M4" sqref="M4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acq&amp;" Income Statement"</f>
        <v>BuyerCo Income Statement</v>
      </c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1" ht="12.75">
      <c r="A2" s="3" t="s">
        <v>1</v>
      </c>
      <c r="B2" s="56"/>
      <c r="M2" s="91"/>
      <c r="N2" s="91"/>
      <c r="O2" s="91"/>
      <c r="P2" s="91"/>
      <c r="Q2" s="91"/>
      <c r="R2" s="75"/>
      <c r="S2" s="91"/>
      <c r="T2" s="91"/>
      <c r="U2" s="91"/>
    </row>
    <row r="3" spans="13:22" ht="12.75" customHeight="1"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7:24" ht="13.5" customHeight="1" thickBot="1">
      <c r="G4" s="7" t="str">
        <f>year&amp;" Ended "&amp;IF(year="FY",TEXT(acq_fye,"mmmm d"),"December 31")&amp;","</f>
        <v>FY Ended September 30,</v>
      </c>
      <c r="H4" s="7"/>
      <c r="I4" s="7"/>
      <c r="J4" s="7"/>
      <c r="K4" s="7"/>
      <c r="L4" s="92"/>
      <c r="M4" s="7" t="str">
        <f>year&amp;" Ending "&amp;IF(year="FY",TEXT(acq_fye,"mmmm d"),"December 31")&amp;","</f>
        <v>FY Ending September 30,</v>
      </c>
      <c r="N4" s="32"/>
      <c r="O4" s="32"/>
      <c r="P4" s="32"/>
      <c r="Q4" s="32"/>
      <c r="R4" s="7"/>
      <c r="S4" s="32"/>
      <c r="T4" s="32"/>
      <c r="U4" s="32"/>
      <c r="X4" s="99" t="s">
        <v>116</v>
      </c>
    </row>
    <row r="5" spans="7:24" ht="13.5" customHeight="1" thickBot="1">
      <c r="G5" s="57">
        <f>I5-1</f>
        <v>2005</v>
      </c>
      <c r="I5" s="57">
        <f>K5-1</f>
        <v>2006</v>
      </c>
      <c r="K5" s="58">
        <f>VALUE(TEXT(acq_fye,"yyyy"))</f>
        <v>2007</v>
      </c>
      <c r="L5" s="93"/>
      <c r="M5" s="94">
        <f>K5+1</f>
        <v>2008</v>
      </c>
      <c r="O5" s="94">
        <f>M5+1</f>
        <v>2009</v>
      </c>
      <c r="Q5" s="94">
        <f>O5+1</f>
        <v>2010</v>
      </c>
      <c r="R5" s="100"/>
      <c r="S5" s="101">
        <f>Q5+1</f>
        <v>2011</v>
      </c>
      <c r="U5" s="101">
        <f>S5+1</f>
        <v>2012</v>
      </c>
      <c r="X5" s="102" t="str">
        <f>M5&amp;"-"&amp;U5</f>
        <v>2008-2012</v>
      </c>
    </row>
    <row r="6" ht="4.5" customHeight="1"/>
    <row r="7" spans="2:24" s="59" customFormat="1" ht="12.75" customHeight="1">
      <c r="B7" s="59" t="s">
        <v>87</v>
      </c>
      <c r="G7" s="60">
        <v>2038.6</v>
      </c>
      <c r="I7" s="60">
        <v>2480.1</v>
      </c>
      <c r="K7" s="60">
        <v>2836.2</v>
      </c>
      <c r="L7" s="60"/>
      <c r="M7" s="60">
        <v>3120</v>
      </c>
      <c r="O7" s="60">
        <v>3470</v>
      </c>
      <c r="Q7" s="60">
        <v>3856</v>
      </c>
      <c r="R7" s="60"/>
      <c r="S7" s="84">
        <f>Q7*(1+S8)</f>
        <v>4284.938328530259</v>
      </c>
      <c r="U7" s="84">
        <f>S7*(1+U8)</f>
        <v>4761.591410608841</v>
      </c>
      <c r="X7" s="62">
        <f>(U7/M7)^(1/(U$5-$M$5))-1</f>
        <v>0.11147419205253906</v>
      </c>
    </row>
    <row r="8" spans="3:24" s="56" customFormat="1" ht="12.75" customHeight="1">
      <c r="C8" s="56" t="s">
        <v>88</v>
      </c>
      <c r="G8" s="61" t="s">
        <v>25</v>
      </c>
      <c r="I8" s="62">
        <f>I7/G7-1</f>
        <v>0.21657019523202203</v>
      </c>
      <c r="K8" s="62">
        <f>K7/I7-1</f>
        <v>0.14358292004354656</v>
      </c>
      <c r="L8" s="62"/>
      <c r="M8" s="62">
        <f>M7/K7-1</f>
        <v>0.10006346519991549</v>
      </c>
      <c r="N8" s="3"/>
      <c r="O8" s="62">
        <f>O7/M7-1</f>
        <v>0.11217948717948723</v>
      </c>
      <c r="P8" s="3"/>
      <c r="Q8" s="62">
        <f>Q7/O7-1</f>
        <v>0.11123919308357344</v>
      </c>
      <c r="R8" s="62"/>
      <c r="S8" s="62">
        <f>Q8</f>
        <v>0.11123919308357344</v>
      </c>
      <c r="T8" s="3"/>
      <c r="U8" s="62">
        <f>S8</f>
        <v>0.11123919308357344</v>
      </c>
      <c r="X8" s="3"/>
    </row>
    <row r="9" ht="4.5" customHeight="1"/>
    <row r="10" spans="2:21" s="63" customFormat="1" ht="12.75">
      <c r="B10" s="63" t="s">
        <v>89</v>
      </c>
      <c r="G10" s="17">
        <v>1295.6</v>
      </c>
      <c r="I10" s="17">
        <v>1565.8</v>
      </c>
      <c r="K10" s="17">
        <v>1771</v>
      </c>
      <c r="L10" s="17"/>
      <c r="M10" s="17">
        <v>1945.5</v>
      </c>
      <c r="O10" s="17">
        <v>2113.5</v>
      </c>
      <c r="Q10" s="17">
        <v>2347.8</v>
      </c>
      <c r="R10" s="17"/>
      <c r="S10" s="88">
        <f>S11*S7</f>
        <v>2608.967377521614</v>
      </c>
      <c r="U10" s="88">
        <f>U11*U7</f>
        <v>2899.186803378485</v>
      </c>
    </row>
    <row r="11" spans="3:24" s="56" customFormat="1" ht="12.75" customHeight="1" thickBot="1">
      <c r="C11" s="56" t="s">
        <v>90</v>
      </c>
      <c r="G11" s="64">
        <f>G10/G7</f>
        <v>0.6355341901304817</v>
      </c>
      <c r="I11" s="64">
        <f>I10/I7</f>
        <v>0.631345510261683</v>
      </c>
      <c r="K11" s="64">
        <f>K10/K7</f>
        <v>0.6244270502785417</v>
      </c>
      <c r="L11" s="64"/>
      <c r="M11" s="64">
        <f>M10/M7</f>
        <v>0.6235576923076923</v>
      </c>
      <c r="N11" s="3"/>
      <c r="O11" s="64">
        <f>O10/O7</f>
        <v>0.6090778097982709</v>
      </c>
      <c r="P11" s="3"/>
      <c r="Q11" s="64">
        <f>Q10/Q7</f>
        <v>0.6088692946058092</v>
      </c>
      <c r="R11" s="64"/>
      <c r="S11" s="64">
        <f>Q11</f>
        <v>0.6088692946058092</v>
      </c>
      <c r="T11" s="3"/>
      <c r="U11" s="64">
        <f>S11</f>
        <v>0.6088692946058092</v>
      </c>
      <c r="X11" s="3"/>
    </row>
    <row r="12" spans="2:24" ht="12.75">
      <c r="B12" t="s">
        <v>91</v>
      </c>
      <c r="G12" s="65">
        <f>G7-G10</f>
        <v>743</v>
      </c>
      <c r="I12" s="65">
        <f>I7-I10</f>
        <v>914.3</v>
      </c>
      <c r="K12" s="65">
        <f>K7-K10</f>
        <v>1065.1999999999998</v>
      </c>
      <c r="L12" s="95"/>
      <c r="M12" s="65">
        <f>M7-M10</f>
        <v>1174.5</v>
      </c>
      <c r="O12" s="65">
        <f>O7-O10</f>
        <v>1356.5</v>
      </c>
      <c r="Q12" s="65">
        <f>Q7-Q10</f>
        <v>1508.1999999999998</v>
      </c>
      <c r="R12" s="95"/>
      <c r="S12" s="65">
        <f>S7-S10</f>
        <v>1675.9709510086454</v>
      </c>
      <c r="U12" s="65">
        <f>U7-U10</f>
        <v>1862.4046072303563</v>
      </c>
      <c r="X12" s="62">
        <f>(U12/M12)^(1/(U$5-$M$5))-1</f>
        <v>0.12216121460743179</v>
      </c>
    </row>
    <row r="13" spans="3:24" s="56" customFormat="1" ht="12.75" customHeight="1">
      <c r="C13" s="56" t="s">
        <v>92</v>
      </c>
      <c r="G13" s="64">
        <f>G12/G$7</f>
        <v>0.3644658098695183</v>
      </c>
      <c r="I13" s="64">
        <f>I12/I$7</f>
        <v>0.368654489738317</v>
      </c>
      <c r="K13" s="64">
        <f>K12/K$7</f>
        <v>0.37557294972145827</v>
      </c>
      <c r="L13" s="64"/>
      <c r="M13" s="64">
        <f>M12/M$7</f>
        <v>0.3764423076923077</v>
      </c>
      <c r="N13" s="3"/>
      <c r="O13" s="64">
        <f>O12/O$7</f>
        <v>0.3909221902017291</v>
      </c>
      <c r="P13" s="3"/>
      <c r="Q13" s="64">
        <f>Q12/Q$7</f>
        <v>0.3911307053941908</v>
      </c>
      <c r="R13" s="64"/>
      <c r="S13" s="64">
        <f>S12/S$7</f>
        <v>0.39113070539419087</v>
      </c>
      <c r="T13" s="3"/>
      <c r="U13" s="64">
        <f>U12/U$7</f>
        <v>0.39113070539419087</v>
      </c>
      <c r="X13" s="3"/>
    </row>
    <row r="14" ht="4.5" customHeight="1"/>
    <row r="15" spans="2:21" s="63" customFormat="1" ht="12.75" customHeight="1">
      <c r="B15" s="63" t="s">
        <v>93</v>
      </c>
      <c r="G15" s="17">
        <v>253.6</v>
      </c>
      <c r="I15" s="66">
        <v>392.3</v>
      </c>
      <c r="K15" s="17">
        <v>482.4</v>
      </c>
      <c r="L15" s="17"/>
      <c r="M15" s="17">
        <v>506.6</v>
      </c>
      <c r="O15" s="17">
        <v>622.3</v>
      </c>
      <c r="Q15" s="17">
        <v>675.5</v>
      </c>
      <c r="R15" s="17"/>
      <c r="S15" s="88">
        <f>S16*S7</f>
        <v>750.6420749279538</v>
      </c>
      <c r="U15" s="88">
        <f>U16*U7</f>
        <v>834.1428936375187</v>
      </c>
    </row>
    <row r="16" spans="3:24" s="56" customFormat="1" ht="12.75" customHeight="1">
      <c r="C16" s="56" t="s">
        <v>90</v>
      </c>
      <c r="G16" s="64">
        <f>G15/G$7</f>
        <v>0.1243990974197979</v>
      </c>
      <c r="I16" s="64">
        <f>I15/I$7</f>
        <v>0.15817910568122254</v>
      </c>
      <c r="K16" s="64">
        <f>K15/K$7</f>
        <v>0.1700867357732177</v>
      </c>
      <c r="L16" s="64"/>
      <c r="M16" s="64">
        <f>M15/M$7</f>
        <v>0.16237179487179487</v>
      </c>
      <c r="N16" s="3"/>
      <c r="O16" s="64">
        <f>O15/O$7</f>
        <v>0.1793371757925072</v>
      </c>
      <c r="P16" s="3"/>
      <c r="Q16" s="64">
        <f>Q15/Q$7</f>
        <v>0.17518153526970953</v>
      </c>
      <c r="R16" s="64"/>
      <c r="S16" s="64">
        <f>Q16</f>
        <v>0.17518153526970953</v>
      </c>
      <c r="T16" s="3"/>
      <c r="U16" s="64">
        <f>S16</f>
        <v>0.17518153526970953</v>
      </c>
      <c r="X16" s="3"/>
    </row>
    <row r="17" ht="4.5" customHeight="1"/>
    <row r="18" spans="1:22" ht="4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</row>
    <row r="19" spans="1:24" s="19" customFormat="1" ht="12.75" customHeight="1">
      <c r="A19" s="69"/>
      <c r="B19" s="69" t="s">
        <v>94</v>
      </c>
      <c r="C19" s="69"/>
      <c r="D19" s="69"/>
      <c r="E19" s="69"/>
      <c r="F19" s="69"/>
      <c r="G19" s="70">
        <f>G12-G15</f>
        <v>489.4</v>
      </c>
      <c r="H19" s="69"/>
      <c r="I19" s="70">
        <f>I12-I15</f>
        <v>522</v>
      </c>
      <c r="J19" s="69"/>
      <c r="K19" s="70">
        <f>K12-K15</f>
        <v>582.7999999999998</v>
      </c>
      <c r="L19" s="70"/>
      <c r="M19" s="70">
        <f>M12-M15</f>
        <v>667.9</v>
      </c>
      <c r="N19" s="69"/>
      <c r="O19" s="70">
        <f>O12-O15</f>
        <v>734.2</v>
      </c>
      <c r="P19" s="69"/>
      <c r="Q19" s="70">
        <f>Q12-Q15</f>
        <v>832.6999999999998</v>
      </c>
      <c r="R19" s="70"/>
      <c r="S19" s="70">
        <f>S12-S15</f>
        <v>925.3288760806917</v>
      </c>
      <c r="T19" s="69"/>
      <c r="U19" s="70">
        <f>U12-U15</f>
        <v>1028.2617135928376</v>
      </c>
      <c r="V19" s="71"/>
      <c r="X19" s="62">
        <f>(U19/M19)^(1/(U$5-$M$5))-1</f>
        <v>0.11390474901506442</v>
      </c>
    </row>
    <row r="20" spans="1:24" s="56" customFormat="1" ht="12.75" customHeight="1">
      <c r="A20" s="72"/>
      <c r="B20" s="72"/>
      <c r="C20" s="72" t="s">
        <v>92</v>
      </c>
      <c r="D20" s="72"/>
      <c r="E20" s="72"/>
      <c r="F20" s="72"/>
      <c r="G20" s="73">
        <f>G19/G$7</f>
        <v>0.2400667124497204</v>
      </c>
      <c r="H20" s="72"/>
      <c r="I20" s="73">
        <f>I19/I$7</f>
        <v>0.21047538405709448</v>
      </c>
      <c r="J20" s="72"/>
      <c r="K20" s="73">
        <f>K19/K$7</f>
        <v>0.20548621394824057</v>
      </c>
      <c r="L20" s="73"/>
      <c r="M20" s="73">
        <f>M19/M$7</f>
        <v>0.21407051282051281</v>
      </c>
      <c r="N20" s="96"/>
      <c r="O20" s="73">
        <f>O19/O$7</f>
        <v>0.21158501440922192</v>
      </c>
      <c r="P20" s="96"/>
      <c r="Q20" s="73">
        <f>Q19/Q$7</f>
        <v>0.21594917012448128</v>
      </c>
      <c r="R20" s="73"/>
      <c r="S20" s="73">
        <f>S19/S$7</f>
        <v>0.21594917012448134</v>
      </c>
      <c r="T20" s="96"/>
      <c r="U20" s="73">
        <f>U19/U$7</f>
        <v>0.2159491701244813</v>
      </c>
      <c r="V20" s="74"/>
      <c r="X20" s="3"/>
    </row>
    <row r="21" spans="1:22" ht="4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s="63" customFormat="1" ht="12.75" customHeight="1">
      <c r="A22" s="77"/>
      <c r="B22" s="77" t="s">
        <v>95</v>
      </c>
      <c r="C22" s="77"/>
      <c r="D22" s="77"/>
      <c r="E22" s="77"/>
      <c r="F22" s="77"/>
      <c r="G22" s="66">
        <v>78.5</v>
      </c>
      <c r="H22" s="77"/>
      <c r="I22" s="78">
        <v>80.3</v>
      </c>
      <c r="J22" s="77"/>
      <c r="K22" s="78">
        <v>90</v>
      </c>
      <c r="L22" s="78"/>
      <c r="M22" s="78">
        <v>108.8</v>
      </c>
      <c r="N22" s="77"/>
      <c r="O22" s="78">
        <v>74.7</v>
      </c>
      <c r="P22" s="77"/>
      <c r="Q22" s="78">
        <v>85.4</v>
      </c>
      <c r="R22" s="78"/>
      <c r="S22" s="97">
        <f>S23*S7</f>
        <v>94.89982708933718</v>
      </c>
      <c r="T22" s="77"/>
      <c r="U22" s="97">
        <f>U23*U7</f>
        <v>105.45640727852569</v>
      </c>
      <c r="V22" s="79"/>
    </row>
    <row r="23" spans="1:24" s="56" customFormat="1" ht="12.75" customHeight="1">
      <c r="A23" s="72"/>
      <c r="B23" s="72"/>
      <c r="C23" s="72" t="s">
        <v>90</v>
      </c>
      <c r="D23" s="72"/>
      <c r="E23" s="72"/>
      <c r="F23" s="72"/>
      <c r="G23" s="73">
        <f>G22/G$7</f>
        <v>0.038506818404787604</v>
      </c>
      <c r="H23" s="72"/>
      <c r="I23" s="73">
        <f>I22/I$7</f>
        <v>0.032377726704568364</v>
      </c>
      <c r="J23" s="72"/>
      <c r="K23" s="73">
        <f>K22/K$7</f>
        <v>0.03173259995768987</v>
      </c>
      <c r="L23" s="73"/>
      <c r="M23" s="73">
        <f>M22/M$7</f>
        <v>0.03487179487179487</v>
      </c>
      <c r="N23" s="96"/>
      <c r="O23" s="73">
        <f>O22/O$7</f>
        <v>0.021527377521613832</v>
      </c>
      <c r="P23" s="96"/>
      <c r="Q23" s="73">
        <f>Q22/Q$7</f>
        <v>0.022147302904564316</v>
      </c>
      <c r="R23" s="73"/>
      <c r="S23" s="73">
        <f>Q23</f>
        <v>0.022147302904564316</v>
      </c>
      <c r="T23" s="96"/>
      <c r="U23" s="73">
        <f>S23</f>
        <v>0.022147302904564316</v>
      </c>
      <c r="V23" s="74"/>
      <c r="X23" s="3"/>
    </row>
    <row r="24" spans="1:22" s="63" customFormat="1" ht="12.75" customHeight="1">
      <c r="A24" s="77"/>
      <c r="B24" s="77" t="s">
        <v>96</v>
      </c>
      <c r="C24" s="77"/>
      <c r="D24" s="77"/>
      <c r="E24" s="77"/>
      <c r="F24" s="77"/>
      <c r="G24" s="66">
        <v>15.4</v>
      </c>
      <c r="H24" s="77"/>
      <c r="I24" s="78">
        <v>37.6</v>
      </c>
      <c r="J24" s="77"/>
      <c r="K24" s="78">
        <v>75</v>
      </c>
      <c r="L24" s="78"/>
      <c r="M24" s="78">
        <v>61.8</v>
      </c>
      <c r="N24" s="77"/>
      <c r="O24" s="78">
        <v>62</v>
      </c>
      <c r="P24" s="77"/>
      <c r="Q24" s="78">
        <v>62</v>
      </c>
      <c r="R24" s="78"/>
      <c r="S24" s="97">
        <f>Q24</f>
        <v>62</v>
      </c>
      <c r="T24" s="77"/>
      <c r="U24" s="97">
        <f>S24</f>
        <v>62</v>
      </c>
      <c r="V24" s="79"/>
    </row>
    <row r="25" spans="1:24" s="56" customFormat="1" ht="12.75" customHeight="1" thickBot="1">
      <c r="A25" s="72"/>
      <c r="B25" s="72"/>
      <c r="C25" s="72" t="s">
        <v>90</v>
      </c>
      <c r="D25" s="72"/>
      <c r="E25" s="72"/>
      <c r="F25" s="72"/>
      <c r="G25" s="73">
        <f>G24/G$7</f>
        <v>0.007554203865397823</v>
      </c>
      <c r="H25" s="72"/>
      <c r="I25" s="73">
        <f>I24/I$7</f>
        <v>0.015160679004878837</v>
      </c>
      <c r="J25" s="72"/>
      <c r="K25" s="73">
        <f>K24/K$7</f>
        <v>0.02644383329807489</v>
      </c>
      <c r="L25" s="73"/>
      <c r="M25" s="73">
        <f>M24/M$7</f>
        <v>0.019807692307692307</v>
      </c>
      <c r="N25" s="96"/>
      <c r="O25" s="73">
        <f>O24/O$7</f>
        <v>0.017867435158501442</v>
      </c>
      <c r="P25" s="96"/>
      <c r="Q25" s="73">
        <f>Q24/Q$7</f>
        <v>0.016078838174273857</v>
      </c>
      <c r="R25" s="73"/>
      <c r="S25" s="73">
        <f>S24/S$7</f>
        <v>0.014469286427575284</v>
      </c>
      <c r="T25" s="96"/>
      <c r="U25" s="73">
        <f>U24/U$7</f>
        <v>0.013020856821495393</v>
      </c>
      <c r="V25" s="74"/>
      <c r="X25" s="3"/>
    </row>
    <row r="26" spans="1:22" ht="12.75">
      <c r="A26" s="75"/>
      <c r="B26" s="75" t="s">
        <v>97</v>
      </c>
      <c r="C26" s="75"/>
      <c r="D26" s="75"/>
      <c r="E26" s="75"/>
      <c r="F26" s="75"/>
      <c r="G26" s="90">
        <f>G24+G22</f>
        <v>93.9</v>
      </c>
      <c r="H26" s="75"/>
      <c r="I26" s="90">
        <f>I24+I22</f>
        <v>117.9</v>
      </c>
      <c r="J26" s="75"/>
      <c r="K26" s="90">
        <f>K24+K22</f>
        <v>165</v>
      </c>
      <c r="L26" s="97"/>
      <c r="M26" s="90">
        <f>M24+M22</f>
        <v>170.6</v>
      </c>
      <c r="N26" s="75"/>
      <c r="O26" s="90">
        <f>O24+O22</f>
        <v>136.7</v>
      </c>
      <c r="P26" s="75"/>
      <c r="Q26" s="90">
        <f>Q24+Q22</f>
        <v>147.4</v>
      </c>
      <c r="R26" s="97"/>
      <c r="S26" s="90">
        <f>S24+S22</f>
        <v>156.89982708933718</v>
      </c>
      <c r="T26" s="75"/>
      <c r="U26" s="90">
        <f>U24+U22</f>
        <v>167.4564072785257</v>
      </c>
      <c r="V26" s="76"/>
    </row>
    <row r="27" spans="1:24" s="56" customFormat="1" ht="12.75" customHeight="1">
      <c r="A27" s="72"/>
      <c r="B27" s="72"/>
      <c r="C27" s="72" t="s">
        <v>90</v>
      </c>
      <c r="D27" s="72"/>
      <c r="E27" s="72"/>
      <c r="F27" s="72"/>
      <c r="G27" s="73">
        <f>G26/G$7</f>
        <v>0.04606102227018543</v>
      </c>
      <c r="H27" s="72"/>
      <c r="I27" s="73">
        <f>I26/I$7</f>
        <v>0.0475384057094472</v>
      </c>
      <c r="J27" s="72"/>
      <c r="K27" s="73">
        <f>K26/K$7</f>
        <v>0.058176433255764756</v>
      </c>
      <c r="L27" s="73"/>
      <c r="M27" s="73">
        <f>M26/M$7</f>
        <v>0.05467948717948718</v>
      </c>
      <c r="N27" s="96"/>
      <c r="O27" s="73">
        <f>O26/O$7</f>
        <v>0.03939481268011527</v>
      </c>
      <c r="P27" s="96"/>
      <c r="Q27" s="73">
        <f>Q26/Q$7</f>
        <v>0.03822614107883818</v>
      </c>
      <c r="R27" s="73"/>
      <c r="S27" s="73">
        <f>S26/S$7</f>
        <v>0.0366165893321396</v>
      </c>
      <c r="T27" s="96"/>
      <c r="U27" s="73">
        <f>U26/U$7</f>
        <v>0.03516815972605971</v>
      </c>
      <c r="V27" s="74"/>
      <c r="X27" s="3"/>
    </row>
    <row r="28" spans="1:22" ht="4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s="63" customFormat="1" ht="12.75">
      <c r="A29" s="77"/>
      <c r="B29" s="77" t="s">
        <v>98</v>
      </c>
      <c r="C29" s="77"/>
      <c r="D29" s="77"/>
      <c r="E29" s="77"/>
      <c r="F29" s="77"/>
      <c r="G29" s="78">
        <v>44.5</v>
      </c>
      <c r="H29" s="77"/>
      <c r="I29" s="78">
        <v>46.2</v>
      </c>
      <c r="J29" s="77"/>
      <c r="K29" s="78">
        <v>53.6</v>
      </c>
      <c r="L29" s="78"/>
      <c r="M29" s="78">
        <v>54.5</v>
      </c>
      <c r="N29" s="77"/>
      <c r="O29" s="78">
        <v>53.7</v>
      </c>
      <c r="P29" s="77"/>
      <c r="Q29" s="78">
        <v>59.6</v>
      </c>
      <c r="R29" s="78"/>
      <c r="S29" s="97">
        <f>S30*S7</f>
        <v>66.22985590778099</v>
      </c>
      <c r="T29" s="77"/>
      <c r="U29" s="97">
        <f>U30*U7</f>
        <v>73.59721163700388</v>
      </c>
      <c r="V29" s="79"/>
    </row>
    <row r="30" spans="1:24" s="56" customFormat="1" ht="12.75" customHeight="1">
      <c r="A30" s="72"/>
      <c r="B30" s="72"/>
      <c r="C30" s="72" t="s">
        <v>90</v>
      </c>
      <c r="D30" s="72"/>
      <c r="E30" s="72"/>
      <c r="F30" s="72"/>
      <c r="G30" s="73">
        <f>G29/G$7</f>
        <v>0.021828705974688514</v>
      </c>
      <c r="H30" s="72"/>
      <c r="I30" s="73">
        <f>I29/I$7</f>
        <v>0.01862828111769687</v>
      </c>
      <c r="J30" s="72"/>
      <c r="K30" s="73">
        <f>K29/K$7</f>
        <v>0.018898526197024187</v>
      </c>
      <c r="L30" s="73"/>
      <c r="M30" s="73">
        <f>M29/M$7</f>
        <v>0.01746794871794872</v>
      </c>
      <c r="N30" s="96"/>
      <c r="O30" s="73">
        <f>O29/O$7</f>
        <v>0.015475504322766571</v>
      </c>
      <c r="P30" s="96"/>
      <c r="Q30" s="73">
        <f>Q29/Q$7</f>
        <v>0.01545643153526971</v>
      </c>
      <c r="R30" s="73"/>
      <c r="S30" s="73">
        <f>Q30</f>
        <v>0.01545643153526971</v>
      </c>
      <c r="T30" s="96"/>
      <c r="U30" s="73">
        <f>S30</f>
        <v>0.01545643153526971</v>
      </c>
      <c r="V30" s="74"/>
      <c r="X30" s="3"/>
    </row>
    <row r="31" spans="1:22" ht="4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4" s="19" customFormat="1" ht="12.75" customHeight="1">
      <c r="A32" s="69"/>
      <c r="B32" s="69" t="s">
        <v>99</v>
      </c>
      <c r="C32" s="69"/>
      <c r="D32" s="69"/>
      <c r="E32" s="69"/>
      <c r="F32" s="69"/>
      <c r="G32" s="70">
        <f>G19-G26-G29</f>
        <v>351</v>
      </c>
      <c r="H32" s="69"/>
      <c r="I32" s="70">
        <f>I19-I26-I29</f>
        <v>357.90000000000003</v>
      </c>
      <c r="J32" s="69"/>
      <c r="K32" s="70">
        <f>K19-K26-K29</f>
        <v>364.1999999999998</v>
      </c>
      <c r="L32" s="70"/>
      <c r="M32" s="70">
        <f>M19-M26-M29</f>
        <v>442.79999999999995</v>
      </c>
      <c r="N32" s="69"/>
      <c r="O32" s="70">
        <f>O19-O26-O29</f>
        <v>543.8</v>
      </c>
      <c r="P32" s="69"/>
      <c r="Q32" s="70">
        <f>Q19-Q26-Q29</f>
        <v>625.6999999999998</v>
      </c>
      <c r="R32" s="70"/>
      <c r="S32" s="70">
        <f>S19-S26-S29</f>
        <v>702.1991930835734</v>
      </c>
      <c r="T32" s="69"/>
      <c r="U32" s="70">
        <f>U19-U26-U29</f>
        <v>787.208094677308</v>
      </c>
      <c r="V32" s="71"/>
      <c r="X32" s="62">
        <f>(U32/M32)^(1/(U$5-$M$5))-1</f>
        <v>0.15470350677743605</v>
      </c>
    </row>
    <row r="33" spans="1:24" s="56" customFormat="1" ht="12.75" customHeight="1">
      <c r="A33" s="72"/>
      <c r="B33" s="72"/>
      <c r="C33" s="72" t="s">
        <v>92</v>
      </c>
      <c r="D33" s="72"/>
      <c r="E33" s="72"/>
      <c r="F33" s="72"/>
      <c r="G33" s="73">
        <f>G32/G$7</f>
        <v>0.17217698420484648</v>
      </c>
      <c r="H33" s="72"/>
      <c r="I33" s="73">
        <f>I32/I$7</f>
        <v>0.14430869722995043</v>
      </c>
      <c r="J33" s="72"/>
      <c r="K33" s="73">
        <f>K32/K$7</f>
        <v>0.1284112544954516</v>
      </c>
      <c r="L33" s="73"/>
      <c r="M33" s="73">
        <f>M32/M$7</f>
        <v>0.1419230769230769</v>
      </c>
      <c r="N33" s="96"/>
      <c r="O33" s="73">
        <f>O32/O$7</f>
        <v>0.15671469740634003</v>
      </c>
      <c r="P33" s="96"/>
      <c r="Q33" s="73">
        <f>Q32/Q$7</f>
        <v>0.1622665975103734</v>
      </c>
      <c r="R33" s="73"/>
      <c r="S33" s="73">
        <f>S32/S$7</f>
        <v>0.163876149257072</v>
      </c>
      <c r="T33" s="96"/>
      <c r="U33" s="73">
        <f>U32/U$7</f>
        <v>0.16532457886315188</v>
      </c>
      <c r="V33" s="74"/>
      <c r="X33" s="3"/>
    </row>
    <row r="34" spans="1:22" ht="4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4" s="19" customFormat="1" ht="12.75">
      <c r="A35" s="69"/>
      <c r="B35" s="69" t="s">
        <v>100</v>
      </c>
      <c r="C35" s="69"/>
      <c r="D35" s="69"/>
      <c r="E35" s="69"/>
      <c r="F35" s="69"/>
      <c r="G35" s="70">
        <f>G32+G24+G29</f>
        <v>410.9</v>
      </c>
      <c r="H35" s="69"/>
      <c r="I35" s="70">
        <f>I32+I24+I29</f>
        <v>441.70000000000005</v>
      </c>
      <c r="J35" s="69"/>
      <c r="K35" s="70">
        <f>K32+K24+K29</f>
        <v>492.79999999999984</v>
      </c>
      <c r="L35" s="70"/>
      <c r="M35" s="70">
        <f>M32+M24+M29</f>
        <v>559.0999999999999</v>
      </c>
      <c r="N35" s="69"/>
      <c r="O35" s="70">
        <f>O32+O24+O29</f>
        <v>659.5</v>
      </c>
      <c r="P35" s="69"/>
      <c r="Q35" s="70">
        <f>Q32+Q24+Q29</f>
        <v>747.2999999999998</v>
      </c>
      <c r="R35" s="70"/>
      <c r="S35" s="70">
        <f>S32+S24+S29</f>
        <v>830.4290489913544</v>
      </c>
      <c r="T35" s="69"/>
      <c r="U35" s="70">
        <f>U32+U24+U29</f>
        <v>922.8053063143119</v>
      </c>
      <c r="V35" s="71"/>
      <c r="X35" s="62">
        <f>(U35/M35)^(1/(U$5-$M$5))-1</f>
        <v>0.13345725783033746</v>
      </c>
    </row>
    <row r="36" spans="1:24" s="56" customFormat="1" ht="12.75" customHeight="1">
      <c r="A36" s="72"/>
      <c r="B36" s="72"/>
      <c r="C36" s="72" t="s">
        <v>92</v>
      </c>
      <c r="D36" s="72"/>
      <c r="E36" s="72"/>
      <c r="F36" s="72"/>
      <c r="G36" s="73">
        <f>G35/G$7</f>
        <v>0.2015598940449328</v>
      </c>
      <c r="H36" s="72"/>
      <c r="I36" s="73">
        <f>I35/I$7</f>
        <v>0.17809765735252614</v>
      </c>
      <c r="J36" s="72"/>
      <c r="K36" s="73">
        <f>K35/K$7</f>
        <v>0.1737536139905507</v>
      </c>
      <c r="L36" s="73"/>
      <c r="M36" s="73">
        <f>M35/M$7</f>
        <v>0.17919871794871792</v>
      </c>
      <c r="N36" s="96"/>
      <c r="O36" s="73">
        <f>O35/O$7</f>
        <v>0.19005763688760807</v>
      </c>
      <c r="P36" s="96"/>
      <c r="Q36" s="73">
        <f>Q35/Q$7</f>
        <v>0.19380186721991696</v>
      </c>
      <c r="R36" s="73"/>
      <c r="S36" s="73">
        <f>S35/S$7</f>
        <v>0.19380186721991702</v>
      </c>
      <c r="T36" s="96"/>
      <c r="U36" s="73">
        <f>U35/U$7</f>
        <v>0.193801867219917</v>
      </c>
      <c r="V36" s="74"/>
      <c r="X36" s="3"/>
    </row>
    <row r="37" spans="1:22" ht="4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</row>
    <row r="38" ht="4.5" customHeight="1">
      <c r="C38" s="82"/>
    </row>
    <row r="39" spans="2:21" s="63" customFormat="1" ht="12.75">
      <c r="B39" s="63" t="s">
        <v>101</v>
      </c>
      <c r="G39" s="17">
        <v>-26.6</v>
      </c>
      <c r="I39" s="17">
        <v>-45.5</v>
      </c>
      <c r="K39" s="17">
        <v>-42.6</v>
      </c>
      <c r="L39" s="17"/>
      <c r="M39" s="17">
        <v>-36.8</v>
      </c>
      <c r="O39" s="17">
        <v>-44.3</v>
      </c>
      <c r="Q39" s="17">
        <v>-52.3</v>
      </c>
      <c r="R39" s="17"/>
      <c r="S39" s="88">
        <f>Q39</f>
        <v>-52.3</v>
      </c>
      <c r="U39" s="88">
        <f>S39</f>
        <v>-52.3</v>
      </c>
    </row>
    <row r="40" spans="2:21" ht="12.75">
      <c r="B40" t="s">
        <v>102</v>
      </c>
      <c r="G40" s="83">
        <v>0</v>
      </c>
      <c r="I40" s="83">
        <v>0</v>
      </c>
      <c r="K40" s="83">
        <v>0</v>
      </c>
      <c r="L40" s="83"/>
      <c r="M40" s="83">
        <v>0</v>
      </c>
      <c r="O40" s="83">
        <v>0</v>
      </c>
      <c r="Q40" s="83">
        <v>0</v>
      </c>
      <c r="R40" s="83"/>
      <c r="S40" s="103">
        <f>Q40</f>
        <v>0</v>
      </c>
      <c r="T40" s="98"/>
      <c r="U40" s="103">
        <f>S40</f>
        <v>0</v>
      </c>
    </row>
    <row r="41" spans="2:21" ht="12.75">
      <c r="B41" t="s">
        <v>103</v>
      </c>
      <c r="G41" s="83">
        <v>0</v>
      </c>
      <c r="I41" s="83">
        <v>0</v>
      </c>
      <c r="K41" s="83">
        <v>0</v>
      </c>
      <c r="L41" s="83"/>
      <c r="M41" s="83">
        <v>0</v>
      </c>
      <c r="O41" s="83">
        <v>0</v>
      </c>
      <c r="Q41" s="83">
        <v>0</v>
      </c>
      <c r="R41" s="83"/>
      <c r="S41" s="103">
        <f>Q41</f>
        <v>0</v>
      </c>
      <c r="T41" s="98"/>
      <c r="U41" s="103">
        <f>S41</f>
        <v>0</v>
      </c>
    </row>
    <row r="42" spans="2:21" s="63" customFormat="1" ht="13.5" customHeight="1" thickBot="1">
      <c r="B42" s="63" t="s">
        <v>104</v>
      </c>
      <c r="G42" s="17">
        <v>4.3</v>
      </c>
      <c r="I42" s="17">
        <v>3.8</v>
      </c>
      <c r="K42" s="17">
        <v>-8</v>
      </c>
      <c r="L42" s="17"/>
      <c r="M42" s="83">
        <v>0</v>
      </c>
      <c r="N42" s="98"/>
      <c r="O42" s="83">
        <v>0</v>
      </c>
      <c r="P42" s="98"/>
      <c r="Q42" s="83">
        <v>0</v>
      </c>
      <c r="R42" s="83"/>
      <c r="S42" s="103">
        <f>Q42</f>
        <v>0</v>
      </c>
      <c r="T42" s="104"/>
      <c r="U42" s="103">
        <f>S42</f>
        <v>0</v>
      </c>
    </row>
    <row r="43" spans="2:24" ht="12.75">
      <c r="B43" t="s">
        <v>105</v>
      </c>
      <c r="G43" s="65">
        <f>G35-SUM(G39:G42)</f>
        <v>433.2</v>
      </c>
      <c r="I43" s="65">
        <f>I35-SUM(I39:I42)</f>
        <v>483.40000000000003</v>
      </c>
      <c r="K43" s="65">
        <f>K35-SUM(K39:K42)</f>
        <v>543.3999999999999</v>
      </c>
      <c r="L43" s="95"/>
      <c r="M43" s="65">
        <f>M35-SUM(M39:M42)</f>
        <v>595.8999999999999</v>
      </c>
      <c r="O43" s="65">
        <f>O35-SUM(O39:O42)</f>
        <v>703.8</v>
      </c>
      <c r="Q43" s="65">
        <f>Q35-SUM(Q39:Q42)</f>
        <v>799.5999999999998</v>
      </c>
      <c r="R43" s="95"/>
      <c r="S43" s="65">
        <f>S35-SUM(S39:S42)</f>
        <v>882.7290489913544</v>
      </c>
      <c r="U43" s="65">
        <f>U35-SUM(U39:U42)</f>
        <v>975.1053063143119</v>
      </c>
      <c r="X43" s="62">
        <f>(U43/M43)^(1/(U$5-$M$5))-1</f>
        <v>0.13101804393497218</v>
      </c>
    </row>
    <row r="44" ht="4.5" customHeight="1"/>
    <row r="45" spans="2:24" s="63" customFormat="1" ht="12.75">
      <c r="B45" s="63" t="s">
        <v>106</v>
      </c>
      <c r="G45" s="17">
        <v>85.8</v>
      </c>
      <c r="I45" s="17">
        <v>71.4</v>
      </c>
      <c r="K45" s="17">
        <v>57.3</v>
      </c>
      <c r="L45" s="17"/>
      <c r="M45" s="17">
        <v>79.6</v>
      </c>
      <c r="O45" s="17">
        <v>96.9</v>
      </c>
      <c r="Q45" s="17">
        <v>110.1</v>
      </c>
      <c r="R45" s="17"/>
      <c r="S45" s="88">
        <f>S46*S43</f>
        <v>121.54635854670853</v>
      </c>
      <c r="U45" s="88">
        <f>U46*U43</f>
        <v>134.26600078189816</v>
      </c>
      <c r="X45" s="105"/>
    </row>
    <row r="46" spans="3:24" s="56" customFormat="1" ht="12.75" customHeight="1" thickBot="1">
      <c r="C46" s="56" t="s">
        <v>107</v>
      </c>
      <c r="G46" s="62">
        <f>G45/G43</f>
        <v>0.19806094182825484</v>
      </c>
      <c r="I46" s="62">
        <f>I45/I43</f>
        <v>0.1477037649979313</v>
      </c>
      <c r="K46" s="62">
        <f>K45/K43</f>
        <v>0.10544718439455283</v>
      </c>
      <c r="L46" s="62"/>
      <c r="M46" s="62">
        <f>M45/M43</f>
        <v>0.13357945964087936</v>
      </c>
      <c r="N46" s="3"/>
      <c r="O46" s="62">
        <f>O45/O43</f>
        <v>0.13768115942028988</v>
      </c>
      <c r="P46" s="3"/>
      <c r="Q46" s="62">
        <f>Q45/Q43</f>
        <v>0.13769384692346176</v>
      </c>
      <c r="R46" s="62"/>
      <c r="S46" s="62">
        <f>Q46</f>
        <v>0.13769384692346176</v>
      </c>
      <c r="T46" s="3"/>
      <c r="U46" s="62">
        <f>S46</f>
        <v>0.13769384692346176</v>
      </c>
      <c r="X46" s="63"/>
    </row>
    <row r="47" spans="7:24" ht="4.5" customHeight="1">
      <c r="G47" s="65"/>
      <c r="I47" s="65"/>
      <c r="K47" s="65"/>
      <c r="L47" s="95"/>
      <c r="M47" s="65"/>
      <c r="O47" s="65"/>
      <c r="Q47" s="65"/>
      <c r="R47" s="95"/>
      <c r="S47" s="65"/>
      <c r="U47" s="65"/>
      <c r="X47" s="3"/>
    </row>
    <row r="48" spans="2:24" s="19" customFormat="1" ht="12.75">
      <c r="B48" s="19" t="s">
        <v>108</v>
      </c>
      <c r="G48" s="84">
        <f>G43-G45</f>
        <v>347.4</v>
      </c>
      <c r="H48" s="84"/>
      <c r="I48" s="84">
        <f>I43-I45</f>
        <v>412</v>
      </c>
      <c r="K48" s="84">
        <f>K43-K45</f>
        <v>486.09999999999985</v>
      </c>
      <c r="L48" s="84"/>
      <c r="M48" s="84">
        <f>M43-M45</f>
        <v>516.2999999999998</v>
      </c>
      <c r="O48" s="84">
        <f>O43-O45</f>
        <v>606.9</v>
      </c>
      <c r="Q48" s="84">
        <f>Q43-Q45</f>
        <v>689.4999999999998</v>
      </c>
      <c r="R48" s="84"/>
      <c r="S48" s="84">
        <f>S43-S45</f>
        <v>761.1826904446458</v>
      </c>
      <c r="U48" s="84">
        <f>U43-U45</f>
        <v>840.8393055324137</v>
      </c>
      <c r="X48" s="62">
        <f>(U48/M48)^(1/(U$5-$M$5))-1</f>
        <v>0.12967292462389657</v>
      </c>
    </row>
    <row r="49" spans="3:21" s="56" customFormat="1" ht="12.75" customHeight="1">
      <c r="C49" s="56" t="s">
        <v>92</v>
      </c>
      <c r="G49" s="64">
        <f>G48/G$7</f>
        <v>0.17041106641813009</v>
      </c>
      <c r="I49" s="64">
        <f>I48/I$7</f>
        <v>0.16612233377686383</v>
      </c>
      <c r="K49" s="64">
        <f>K48/K$7</f>
        <v>0.17139129821592267</v>
      </c>
      <c r="L49" s="64"/>
      <c r="M49" s="64">
        <f>M48/M$7</f>
        <v>0.16548076923076918</v>
      </c>
      <c r="N49" s="3"/>
      <c r="O49" s="64">
        <f>O48/O$7</f>
        <v>0.17489913544668587</v>
      </c>
      <c r="P49" s="3"/>
      <c r="Q49" s="64">
        <f>Q48/Q$7</f>
        <v>0.17881224066390036</v>
      </c>
      <c r="R49" s="64"/>
      <c r="S49" s="64">
        <f>S48/S$7</f>
        <v>0.17764145760896696</v>
      </c>
      <c r="T49" s="3"/>
      <c r="U49" s="64">
        <f>U48/U$7</f>
        <v>0.17658787431005127</v>
      </c>
    </row>
    <row r="50" ht="4.5" customHeight="1">
      <c r="X50" s="3"/>
    </row>
    <row r="51" spans="1:24" s="19" customFormat="1" ht="12.75">
      <c r="A51" s="85"/>
      <c r="B51" s="85" t="s">
        <v>109</v>
      </c>
      <c r="C51" s="85"/>
      <c r="D51" s="85"/>
      <c r="E51" s="85"/>
      <c r="F51" s="85"/>
      <c r="G51" s="86">
        <f>G48/G53</f>
        <v>1.6342774884626783</v>
      </c>
      <c r="H51" s="85"/>
      <c r="I51" s="86">
        <f>I48/I53</f>
        <v>1.8852901607987773</v>
      </c>
      <c r="J51" s="85"/>
      <c r="K51" s="86">
        <f>K48/K53</f>
        <v>2.177321102232414</v>
      </c>
      <c r="L51" s="86"/>
      <c r="M51" s="86">
        <f>M48/M53</f>
        <v>2.3351530309951642</v>
      </c>
      <c r="N51" s="85"/>
      <c r="O51" s="86">
        <f>O48/O53</f>
        <v>2.705920119846981</v>
      </c>
      <c r="P51" s="85"/>
      <c r="Q51" s="86">
        <f>Q48/Q53</f>
        <v>3.0203341422601464</v>
      </c>
      <c r="R51" s="86"/>
      <c r="S51" s="86">
        <f>S48/S53</f>
        <v>3.276920220954538</v>
      </c>
      <c r="T51" s="85"/>
      <c r="U51" s="86">
        <f>U48/U53</f>
        <v>3.5585659139027017</v>
      </c>
      <c r="V51" s="87"/>
      <c r="X51" s="62">
        <f>(U51/M51)^(1/(U$5-$M$5))-1</f>
        <v>0.11106615119503571</v>
      </c>
    </row>
    <row r="52" ht="4.5" customHeight="1"/>
    <row r="53" spans="2:21" ht="12.75">
      <c r="B53" t="s">
        <v>110</v>
      </c>
      <c r="G53" s="12">
        <v>212.571</v>
      </c>
      <c r="H53" s="13"/>
      <c r="I53" s="12">
        <v>218.534</v>
      </c>
      <c r="J53" s="13"/>
      <c r="K53" s="12">
        <v>223.256</v>
      </c>
      <c r="L53" s="12"/>
      <c r="M53" s="12">
        <v>221.099</v>
      </c>
      <c r="O53" s="12">
        <v>224.286</v>
      </c>
      <c r="Q53" s="12">
        <v>228.286</v>
      </c>
      <c r="R53" s="12"/>
      <c r="S53" s="12">
        <v>232.286</v>
      </c>
      <c r="U53" s="12">
        <v>236.286</v>
      </c>
    </row>
    <row r="55" ht="12.75">
      <c r="B55" s="19" t="s">
        <v>111</v>
      </c>
    </row>
    <row r="56" spans="3:21" ht="12.75">
      <c r="C56" t="s">
        <v>96</v>
      </c>
      <c r="G56" s="16">
        <f>G24*(1-G46)</f>
        <v>12.349861495844875</v>
      </c>
      <c r="I56" s="16">
        <f>I24*(1-I46)</f>
        <v>32.04633843607778</v>
      </c>
      <c r="K56" s="16">
        <f>K24*(1-K46)</f>
        <v>67.09146117040854</v>
      </c>
      <c r="L56" s="16"/>
      <c r="M56" s="16">
        <f>M24*(1-M46)</f>
        <v>53.54478939419365</v>
      </c>
      <c r="O56" s="16">
        <f>O24*(1-O46)</f>
        <v>53.463768115942024</v>
      </c>
      <c r="Q56" s="16">
        <f>Q24*(1-Q46)</f>
        <v>53.46298149074537</v>
      </c>
      <c r="R56" s="16"/>
      <c r="S56" s="16">
        <f>S24*(1-S46)</f>
        <v>53.46298149074537</v>
      </c>
      <c r="U56" s="16">
        <f>U24*(1-U46)</f>
        <v>53.46298149074537</v>
      </c>
    </row>
    <row r="57" spans="3:21" ht="12.75">
      <c r="C57" t="s">
        <v>98</v>
      </c>
      <c r="G57" s="88">
        <f>G29*(1-G46)</f>
        <v>35.68628808864266</v>
      </c>
      <c r="I57" s="88">
        <f>I29*(1-I46)</f>
        <v>39.37608605709557</v>
      </c>
      <c r="K57" s="88">
        <f>K29*(1-K46)</f>
        <v>47.94803091645197</v>
      </c>
      <c r="L57" s="88"/>
      <c r="M57" s="88">
        <f>M29*(1-M46)</f>
        <v>47.219919449572075</v>
      </c>
      <c r="O57" s="88">
        <f>O29*(1-O46)</f>
        <v>46.30652173913043</v>
      </c>
      <c r="Q57" s="88">
        <f>Q29*(1-Q46)</f>
        <v>51.39344672336168</v>
      </c>
      <c r="R57" s="88"/>
      <c r="S57" s="88">
        <f>S29*(1-S46)</f>
        <v>57.11041226665206</v>
      </c>
      <c r="U57" s="88">
        <f>U29*(1-U46)</f>
        <v>63.46332844386465</v>
      </c>
    </row>
    <row r="58" spans="3:21" ht="13.5" customHeight="1" thickBot="1">
      <c r="C58" t="s">
        <v>112</v>
      </c>
      <c r="G58" s="17">
        <f>12.59*(1-G46)</f>
        <v>10.096412742382272</v>
      </c>
      <c r="I58" s="17">
        <v>21.9</v>
      </c>
      <c r="K58" s="17">
        <v>6.1</v>
      </c>
      <c r="L58" s="17"/>
      <c r="M58" s="83">
        <v>0</v>
      </c>
      <c r="N58" s="98"/>
      <c r="O58" s="83">
        <v>0</v>
      </c>
      <c r="P58" s="98"/>
      <c r="Q58" s="83">
        <v>0</v>
      </c>
      <c r="R58" s="83"/>
      <c r="S58" s="103">
        <f>Q58</f>
        <v>0</v>
      </c>
      <c r="T58" s="98"/>
      <c r="U58" s="103">
        <f>S58</f>
        <v>0</v>
      </c>
    </row>
    <row r="59" spans="7:21" ht="4.5" customHeight="1">
      <c r="G59" s="65"/>
      <c r="I59" s="65"/>
      <c r="K59" s="65"/>
      <c r="L59" s="95"/>
      <c r="M59" s="65"/>
      <c r="O59" s="65"/>
      <c r="Q59" s="65"/>
      <c r="R59" s="95"/>
      <c r="S59" s="106"/>
      <c r="U59" s="106"/>
    </row>
    <row r="60" spans="2:24" s="19" customFormat="1" ht="12.75">
      <c r="B60" s="19" t="s">
        <v>113</v>
      </c>
      <c r="G60" s="84">
        <f>G48-SUM(G56:G58)</f>
        <v>289.2674376731302</v>
      </c>
      <c r="I60" s="84">
        <f>I48-SUM(I56:I58)</f>
        <v>318.67757550682666</v>
      </c>
      <c r="K60" s="84">
        <f>K48-SUM(K56:K58)</f>
        <v>364.96050791313934</v>
      </c>
      <c r="L60" s="84"/>
      <c r="M60" s="84">
        <f>M48-SUM(M56:M58)</f>
        <v>415.5352911562341</v>
      </c>
      <c r="O60" s="84">
        <f>O48-SUM(O56:O58)</f>
        <v>507.1297101449275</v>
      </c>
      <c r="Q60" s="84">
        <f>Q48-SUM(Q56:Q58)</f>
        <v>584.6435717858927</v>
      </c>
      <c r="R60" s="84"/>
      <c r="S60" s="84">
        <f>S48-SUM(S56:S58)</f>
        <v>650.6092966872484</v>
      </c>
      <c r="U60" s="84">
        <f>U48-SUM(U56:U58)</f>
        <v>723.9129955978037</v>
      </c>
      <c r="X60" s="62">
        <f>(U60/M60)^(1/(U$5-$M$5))-1</f>
        <v>0.14886662911691295</v>
      </c>
    </row>
    <row r="61" spans="3:21" s="56" customFormat="1" ht="12.75" customHeight="1">
      <c r="C61" s="56" t="s">
        <v>92</v>
      </c>
      <c r="G61" s="64">
        <f>G60/G$7</f>
        <v>0.14189514258468075</v>
      </c>
      <c r="I61" s="64">
        <f>I60/I$7</f>
        <v>0.12849384117851162</v>
      </c>
      <c r="K61" s="64">
        <f>K60/K$7</f>
        <v>0.12867939775514398</v>
      </c>
      <c r="L61" s="64"/>
      <c r="M61" s="64">
        <f>M60/M$7</f>
        <v>0.13318438819110068</v>
      </c>
      <c r="N61" s="3"/>
      <c r="O61" s="64">
        <f>O60/O$7</f>
        <v>0.1461468905316794</v>
      </c>
      <c r="P61" s="3"/>
      <c r="Q61" s="64">
        <f>Q60/Q$7</f>
        <v>0.15161918355443277</v>
      </c>
      <c r="R61" s="64"/>
      <c r="S61" s="64">
        <f>S60/S$7</f>
        <v>0.15183632687437265</v>
      </c>
      <c r="T61" s="3"/>
      <c r="U61" s="64">
        <f>U60/U$7</f>
        <v>0.15203173333707784</v>
      </c>
    </row>
    <row r="62" ht="4.5" customHeight="1">
      <c r="X62" s="3"/>
    </row>
    <row r="63" spans="1:24" ht="12.75">
      <c r="A63" s="85"/>
      <c r="B63" s="85" t="s">
        <v>114</v>
      </c>
      <c r="C63" s="85"/>
      <c r="D63" s="85"/>
      <c r="E63" s="85"/>
      <c r="F63" s="85"/>
      <c r="G63" s="86">
        <f>G60/G53</f>
        <v>1.3608038616421345</v>
      </c>
      <c r="H63" s="85"/>
      <c r="I63" s="86">
        <f>I60/I53</f>
        <v>1.4582516931316256</v>
      </c>
      <c r="J63" s="85"/>
      <c r="K63" s="86">
        <f>K60/K53</f>
        <v>1.6347175794296205</v>
      </c>
      <c r="L63" s="86"/>
      <c r="M63" s="86">
        <f>M60/M53</f>
        <v>1.8794082793510334</v>
      </c>
      <c r="N63" s="85"/>
      <c r="O63" s="86">
        <f>O60/O53</f>
        <v>2.2610849992640087</v>
      </c>
      <c r="P63" s="85"/>
      <c r="Q63" s="86">
        <f>Q60/Q53</f>
        <v>2.56101369241168</v>
      </c>
      <c r="R63" s="86"/>
      <c r="S63" s="86">
        <f>S60/S53</f>
        <v>2.8008975861104344</v>
      </c>
      <c r="T63" s="85"/>
      <c r="U63" s="86">
        <f>U60/U53</f>
        <v>3.0637151401175005</v>
      </c>
      <c r="V63" s="87"/>
      <c r="X63" s="62">
        <f>(U63/M63)^(1/(U$5-$M$5))-1</f>
        <v>0.12994371735900367</v>
      </c>
    </row>
    <row r="65" spans="2:21" s="89" customFormat="1" ht="12.75">
      <c r="B65" s="89" t="s">
        <v>115</v>
      </c>
      <c r="G65" s="23">
        <v>71.4</v>
      </c>
      <c r="I65" s="23">
        <v>80.7</v>
      </c>
      <c r="K65" s="23">
        <v>166.4</v>
      </c>
      <c r="L65" s="23"/>
      <c r="M65" s="23">
        <v>183.1</v>
      </c>
      <c r="O65" s="23">
        <v>203.6</v>
      </c>
      <c r="Q65" s="23">
        <v>226.3</v>
      </c>
      <c r="R65" s="23"/>
      <c r="S65" s="16">
        <f>S66*S7</f>
        <v>192.82222478386166</v>
      </c>
      <c r="U65" s="16">
        <f>U66*U7</f>
        <v>190.46365642435364</v>
      </c>
    </row>
    <row r="66" spans="1:22" s="56" customFormat="1" ht="12.75" customHeight="1">
      <c r="A66" s="72"/>
      <c r="B66" s="72"/>
      <c r="C66" s="72" t="s">
        <v>90</v>
      </c>
      <c r="D66" s="72"/>
      <c r="E66" s="72"/>
      <c r="F66" s="72"/>
      <c r="G66" s="73">
        <f>G65/G$7</f>
        <v>0.03502403610320809</v>
      </c>
      <c r="H66" s="72"/>
      <c r="I66" s="73">
        <f>I65/I$7</f>
        <v>0.0325390105237692</v>
      </c>
      <c r="J66" s="72"/>
      <c r="K66" s="73">
        <f>K65/K$7</f>
        <v>0.05867005147732882</v>
      </c>
      <c r="L66" s="73"/>
      <c r="M66" s="73">
        <f>M65/M$7</f>
        <v>0.05868589743589744</v>
      </c>
      <c r="N66" s="96"/>
      <c r="O66" s="73">
        <f>O65/O$7</f>
        <v>0.058674351585014405</v>
      </c>
      <c r="P66" s="96"/>
      <c r="Q66" s="73">
        <f>Q65/Q$7</f>
        <v>0.058687759336099585</v>
      </c>
      <c r="R66" s="73"/>
      <c r="S66" s="107">
        <v>0.045</v>
      </c>
      <c r="T66" s="72"/>
      <c r="U66" s="107">
        <v>0.04</v>
      </c>
      <c r="V66" s="72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tgt&amp;" Income Statement"</f>
        <v>TargetCo Income Statement</v>
      </c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" ht="12.75">
      <c r="A2" s="108" t="s">
        <v>1</v>
      </c>
      <c r="B2" s="56"/>
    </row>
    <row r="4" spans="7:24" ht="13.5" customHeight="1" thickBot="1">
      <c r="G4" s="7" t="str">
        <f>year&amp;" Ended "&amp;IF(year="FY",TEXT(acq_fye,"mmmm d"),"December 31")&amp;","</f>
        <v>FY Ended September 30,</v>
      </c>
      <c r="H4" s="7"/>
      <c r="I4" s="7"/>
      <c r="J4" s="7"/>
      <c r="K4" s="7"/>
      <c r="M4" s="7" t="str">
        <f>year&amp;" Ending "&amp;IF(year="FY",TEXT(acq_fye,"mmmm d"),"December 31")&amp;","</f>
        <v>FY Ending September 30,</v>
      </c>
      <c r="N4" s="32"/>
      <c r="O4" s="32"/>
      <c r="P4" s="32"/>
      <c r="Q4" s="32"/>
      <c r="R4" s="32"/>
      <c r="S4" s="32"/>
      <c r="T4" s="32"/>
      <c r="U4" s="32"/>
      <c r="X4" s="99" t="s">
        <v>116</v>
      </c>
    </row>
    <row r="5" spans="7:24" ht="13.5" customHeight="1" thickBot="1">
      <c r="G5" s="109">
        <f>I5-1</f>
        <v>2005</v>
      </c>
      <c r="H5" s="110"/>
      <c r="I5" s="109">
        <f>K5-1</f>
        <v>2006</v>
      </c>
      <c r="K5" s="111">
        <f>'Buyer P&amp;L'!K5</f>
        <v>2007</v>
      </c>
      <c r="M5" s="94">
        <f>K5+1</f>
        <v>2008</v>
      </c>
      <c r="O5" s="94">
        <f>M5+1</f>
        <v>2009</v>
      </c>
      <c r="Q5" s="94">
        <f>O5+1</f>
        <v>2010</v>
      </c>
      <c r="R5" s="100"/>
      <c r="S5" s="101">
        <f>Q5+1</f>
        <v>2011</v>
      </c>
      <c r="U5" s="101">
        <f>S5+1</f>
        <v>2012</v>
      </c>
      <c r="X5" s="102" t="str">
        <f>M5&amp;"-"&amp;U5</f>
        <v>2008-2012</v>
      </c>
    </row>
    <row r="6" ht="4.5" customHeight="1"/>
    <row r="7" spans="2:24" s="59" customFormat="1" ht="12.75">
      <c r="B7" s="59" t="s">
        <v>87</v>
      </c>
      <c r="G7" s="60">
        <v>370.8</v>
      </c>
      <c r="I7" s="60">
        <v>380.8</v>
      </c>
      <c r="K7" s="60">
        <v>402.5</v>
      </c>
      <c r="M7" s="60">
        <v>458.1</v>
      </c>
      <c r="O7" s="60">
        <v>468</v>
      </c>
      <c r="Q7" s="60">
        <v>470.5</v>
      </c>
      <c r="S7" s="84">
        <f>Q7*(1+S8)</f>
        <v>475.205</v>
      </c>
      <c r="U7" s="84">
        <f>S7*(1+U8)</f>
        <v>479.95705</v>
      </c>
      <c r="X7" s="62">
        <f>(U7/M7)^(1/(U$5-$M$5))-1</f>
        <v>0.011720432226423716</v>
      </c>
    </row>
    <row r="8" spans="3:24" s="56" customFormat="1" ht="12.75" customHeight="1">
      <c r="C8" s="56" t="s">
        <v>88</v>
      </c>
      <c r="G8" s="61" t="s">
        <v>25</v>
      </c>
      <c r="I8" s="62">
        <f>I7/G7-1</f>
        <v>0.026968716289104577</v>
      </c>
      <c r="K8" s="62">
        <f>K7/I7-1</f>
        <v>0.05698529411764697</v>
      </c>
      <c r="M8" s="62">
        <f>M7/K7-1</f>
        <v>0.1381366459627329</v>
      </c>
      <c r="O8" s="62">
        <f>O7/M7-1</f>
        <v>0.0216110019646365</v>
      </c>
      <c r="Q8" s="62">
        <f>Q7/O7-1</f>
        <v>0.005341880341880323</v>
      </c>
      <c r="S8" s="43">
        <v>0.01</v>
      </c>
      <c r="U8" s="62">
        <f>S8</f>
        <v>0.01</v>
      </c>
      <c r="X8" s="3"/>
    </row>
    <row r="9" ht="4.5" customHeight="1"/>
    <row r="10" spans="2:21" s="63" customFormat="1" ht="12.75">
      <c r="B10" s="63" t="s">
        <v>89</v>
      </c>
      <c r="G10" s="17">
        <v>182.5</v>
      </c>
      <c r="I10" s="17">
        <v>188.6</v>
      </c>
      <c r="K10" s="17">
        <v>207.7</v>
      </c>
      <c r="M10" s="17">
        <v>239.6</v>
      </c>
      <c r="O10" s="17">
        <v>249.8</v>
      </c>
      <c r="Q10" s="17">
        <v>252.2</v>
      </c>
      <c r="S10" s="88">
        <f>S11*S7</f>
        <v>254.72199999999998</v>
      </c>
      <c r="U10" s="88">
        <f>U11*U7</f>
        <v>257.26921999999996</v>
      </c>
    </row>
    <row r="11" spans="3:24" s="56" customFormat="1" ht="12.75" customHeight="1" thickBot="1">
      <c r="C11" s="56" t="s">
        <v>90</v>
      </c>
      <c r="G11" s="64">
        <f>G10/G7</f>
        <v>0.49217907227615965</v>
      </c>
      <c r="I11" s="64">
        <f>I10/I7</f>
        <v>0.49527310924369744</v>
      </c>
      <c r="K11" s="64">
        <f>K10/K7</f>
        <v>0.5160248447204968</v>
      </c>
      <c r="M11" s="64">
        <f>M10/M7</f>
        <v>0.5230299061340319</v>
      </c>
      <c r="O11" s="64">
        <f>O10/O7</f>
        <v>0.5337606837606838</v>
      </c>
      <c r="Q11" s="64">
        <f>Q10/Q7</f>
        <v>0.5360255047821466</v>
      </c>
      <c r="S11" s="112">
        <f>Q11</f>
        <v>0.5360255047821466</v>
      </c>
      <c r="U11" s="64">
        <f>S11</f>
        <v>0.5360255047821466</v>
      </c>
      <c r="X11" s="3"/>
    </row>
    <row r="12" spans="2:24" ht="12.75">
      <c r="B12" t="s">
        <v>91</v>
      </c>
      <c r="G12" s="65">
        <f>G7-G10</f>
        <v>188.3</v>
      </c>
      <c r="I12" s="65">
        <f>I7-I10</f>
        <v>192.20000000000002</v>
      </c>
      <c r="K12" s="65">
        <f>K7-K10</f>
        <v>194.8</v>
      </c>
      <c r="M12" s="65">
        <f>M7-M10</f>
        <v>218.50000000000003</v>
      </c>
      <c r="O12" s="65">
        <f>O7-O10</f>
        <v>218.2</v>
      </c>
      <c r="Q12" s="65">
        <f>Q7-Q10</f>
        <v>218.3</v>
      </c>
      <c r="S12" s="65">
        <f>S7-S10</f>
        <v>220.483</v>
      </c>
      <c r="U12" s="65">
        <f>U7-U10</f>
        <v>222.68783000000002</v>
      </c>
      <c r="X12" s="62">
        <f>(U12/M12)^(1/(U$5-$M$5))-1</f>
        <v>0.004757508860870674</v>
      </c>
    </row>
    <row r="13" spans="3:24" s="56" customFormat="1" ht="12.75" customHeight="1">
      <c r="C13" s="56" t="s">
        <v>92</v>
      </c>
      <c r="G13" s="64">
        <f>G12/G$7</f>
        <v>0.5078209277238404</v>
      </c>
      <c r="I13" s="64">
        <f>I12/I$7</f>
        <v>0.5047268907563025</v>
      </c>
      <c r="K13" s="64">
        <f>K12/K$7</f>
        <v>0.48397515527950313</v>
      </c>
      <c r="M13" s="64">
        <f>M12/M$7</f>
        <v>0.47697009386596817</v>
      </c>
      <c r="O13" s="64">
        <f>O12/O$7</f>
        <v>0.4662393162393162</v>
      </c>
      <c r="Q13" s="64">
        <f>Q12/Q$7</f>
        <v>0.4639744952178534</v>
      </c>
      <c r="S13" s="64">
        <f>S12/S$7</f>
        <v>0.4639744952178534</v>
      </c>
      <c r="U13" s="64">
        <f>U12/U$7</f>
        <v>0.4639744952178534</v>
      </c>
      <c r="X13" s="3"/>
    </row>
    <row r="14" ht="4.5" customHeight="1"/>
    <row r="15" spans="2:21" s="63" customFormat="1" ht="12.75" customHeight="1">
      <c r="B15" s="63" t="s">
        <v>93</v>
      </c>
      <c r="G15" s="17">
        <v>46.6</v>
      </c>
      <c r="I15" s="66">
        <v>61.9</v>
      </c>
      <c r="K15" s="17">
        <v>74.8</v>
      </c>
      <c r="M15" s="17">
        <v>88.3</v>
      </c>
      <c r="O15" s="17">
        <v>91.7</v>
      </c>
      <c r="Q15" s="17">
        <v>92.4</v>
      </c>
      <c r="S15" s="88">
        <f>S16*S7</f>
        <v>93.324</v>
      </c>
      <c r="U15" s="88">
        <f>U16*U7</f>
        <v>94.25724</v>
      </c>
    </row>
    <row r="16" spans="3:24" s="56" customFormat="1" ht="12.75" customHeight="1">
      <c r="C16" s="56" t="s">
        <v>90</v>
      </c>
      <c r="G16" s="64">
        <f>G15/G$7</f>
        <v>0.1256742179072276</v>
      </c>
      <c r="I16" s="64">
        <f>I15/I$7</f>
        <v>0.16255252100840334</v>
      </c>
      <c r="K16" s="64">
        <f>K15/K$7</f>
        <v>0.18583850931677018</v>
      </c>
      <c r="M16" s="64">
        <f>M15/M$7</f>
        <v>0.19275267408862692</v>
      </c>
      <c r="O16" s="64">
        <f>O15/O$7</f>
        <v>0.19594017094017094</v>
      </c>
      <c r="Q16" s="64">
        <f>Q15/Q$7</f>
        <v>0.19638682252922424</v>
      </c>
      <c r="S16" s="112">
        <f>Q16</f>
        <v>0.19638682252922424</v>
      </c>
      <c r="U16" s="64">
        <f>S16</f>
        <v>0.19638682252922424</v>
      </c>
      <c r="X16" s="3"/>
    </row>
    <row r="17" ht="4.5" customHeight="1"/>
    <row r="18" spans="1:22" ht="4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</row>
    <row r="19" spans="1:24" s="19" customFormat="1" ht="12.75">
      <c r="A19" s="69"/>
      <c r="B19" s="69" t="s">
        <v>94</v>
      </c>
      <c r="C19" s="69"/>
      <c r="D19" s="69"/>
      <c r="E19" s="69"/>
      <c r="F19" s="69"/>
      <c r="G19" s="70">
        <f>G12-G15</f>
        <v>141.70000000000002</v>
      </c>
      <c r="H19" s="69"/>
      <c r="I19" s="70">
        <f>I12-I15</f>
        <v>130.3</v>
      </c>
      <c r="J19" s="69"/>
      <c r="K19" s="70">
        <f>K12-K15</f>
        <v>120.00000000000001</v>
      </c>
      <c r="L19" s="69"/>
      <c r="M19" s="70">
        <f>M12-M15</f>
        <v>130.20000000000005</v>
      </c>
      <c r="N19" s="69"/>
      <c r="O19" s="70">
        <f>O12-O15</f>
        <v>126.49999999999999</v>
      </c>
      <c r="P19" s="69"/>
      <c r="Q19" s="70">
        <f>Q12-Q15</f>
        <v>125.9</v>
      </c>
      <c r="R19" s="69"/>
      <c r="S19" s="70">
        <f>S12-S15</f>
        <v>127.159</v>
      </c>
      <c r="T19" s="69"/>
      <c r="U19" s="70">
        <f>U12-U15</f>
        <v>128.43059000000002</v>
      </c>
      <c r="V19" s="71"/>
      <c r="X19" s="62">
        <f>(U19/M19)^(1/(U$5-$M$5))-1</f>
        <v>-0.003414937546371344</v>
      </c>
    </row>
    <row r="20" spans="1:24" s="56" customFormat="1" ht="12.75" customHeight="1">
      <c r="A20" s="72"/>
      <c r="B20" s="72"/>
      <c r="C20" s="72" t="s">
        <v>92</v>
      </c>
      <c r="D20" s="72"/>
      <c r="E20" s="72"/>
      <c r="F20" s="72"/>
      <c r="G20" s="73">
        <f>G19/G$7</f>
        <v>0.38214670981661275</v>
      </c>
      <c r="H20" s="72"/>
      <c r="I20" s="73">
        <f>I19/I$7</f>
        <v>0.34217436974789917</v>
      </c>
      <c r="J20" s="72"/>
      <c r="K20" s="73">
        <f>K19/K$7</f>
        <v>0.2981366459627329</v>
      </c>
      <c r="L20" s="72"/>
      <c r="M20" s="73">
        <f>M19/M$7</f>
        <v>0.2842174197773413</v>
      </c>
      <c r="N20" s="72"/>
      <c r="O20" s="73">
        <f>O19/O$7</f>
        <v>0.2702991452991453</v>
      </c>
      <c r="P20" s="72"/>
      <c r="Q20" s="73">
        <f>Q19/Q$7</f>
        <v>0.26758767268862915</v>
      </c>
      <c r="R20" s="72"/>
      <c r="S20" s="73">
        <f>S19/S$7</f>
        <v>0.26758767268862915</v>
      </c>
      <c r="T20" s="72"/>
      <c r="U20" s="73">
        <f>U19/U$7</f>
        <v>0.26758767268862915</v>
      </c>
      <c r="V20" s="74"/>
      <c r="X20" s="3"/>
    </row>
    <row r="21" spans="1:22" ht="4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s="63" customFormat="1" ht="12.75" customHeight="1">
      <c r="A22" s="77"/>
      <c r="B22" s="77" t="s">
        <v>95</v>
      </c>
      <c r="C22" s="77"/>
      <c r="D22" s="77"/>
      <c r="E22" s="77"/>
      <c r="F22" s="77"/>
      <c r="G22" s="66">
        <v>14</v>
      </c>
      <c r="H22" s="77"/>
      <c r="I22" s="78">
        <v>11.1</v>
      </c>
      <c r="J22" s="77"/>
      <c r="K22" s="78">
        <v>12.1</v>
      </c>
      <c r="L22" s="77"/>
      <c r="M22" s="78">
        <v>14.1</v>
      </c>
      <c r="N22" s="77"/>
      <c r="O22" s="78">
        <v>14.1</v>
      </c>
      <c r="P22" s="77"/>
      <c r="Q22" s="78">
        <v>14.1</v>
      </c>
      <c r="R22" s="77"/>
      <c r="S22" s="97">
        <f>S23*S7</f>
        <v>14.241</v>
      </c>
      <c r="T22" s="77"/>
      <c r="U22" s="97">
        <f>U23*U7</f>
        <v>14.38341</v>
      </c>
      <c r="V22" s="79"/>
    </row>
    <row r="23" spans="1:24" s="56" customFormat="1" ht="12.75" customHeight="1">
      <c r="A23" s="72"/>
      <c r="B23" s="72"/>
      <c r="C23" s="72" t="s">
        <v>90</v>
      </c>
      <c r="D23" s="72"/>
      <c r="E23" s="72"/>
      <c r="F23" s="72"/>
      <c r="G23" s="73">
        <f>G22/G$7</f>
        <v>0.037756202804746494</v>
      </c>
      <c r="H23" s="72"/>
      <c r="I23" s="73">
        <f>I22/I$7</f>
        <v>0.029149159663865543</v>
      </c>
      <c r="J23" s="72"/>
      <c r="K23" s="73">
        <f>K22/K$7</f>
        <v>0.030062111801242235</v>
      </c>
      <c r="L23" s="72"/>
      <c r="M23" s="73">
        <f>M22/M$7</f>
        <v>0.03077930582842174</v>
      </c>
      <c r="N23" s="72"/>
      <c r="O23" s="73">
        <f>O22/O$7</f>
        <v>0.03012820512820513</v>
      </c>
      <c r="P23" s="72"/>
      <c r="Q23" s="73">
        <f>Q22/Q$7</f>
        <v>0.029968119022316685</v>
      </c>
      <c r="R23" s="72"/>
      <c r="S23" s="107">
        <f>Q23</f>
        <v>0.029968119022316685</v>
      </c>
      <c r="T23" s="72"/>
      <c r="U23" s="73">
        <f>S23</f>
        <v>0.029968119022316685</v>
      </c>
      <c r="V23" s="74"/>
      <c r="X23" s="3"/>
    </row>
    <row r="24" spans="1:22" s="63" customFormat="1" ht="12.75" customHeight="1">
      <c r="A24" s="77"/>
      <c r="B24" s="77" t="s">
        <v>96</v>
      </c>
      <c r="C24" s="77"/>
      <c r="D24" s="77"/>
      <c r="E24" s="77"/>
      <c r="F24" s="77"/>
      <c r="G24" s="66">
        <v>25.7</v>
      </c>
      <c r="H24" s="77"/>
      <c r="I24" s="78">
        <v>18.2</v>
      </c>
      <c r="J24" s="77"/>
      <c r="K24" s="78">
        <v>18.6</v>
      </c>
      <c r="L24" s="77"/>
      <c r="M24" s="78">
        <v>19.6</v>
      </c>
      <c r="N24" s="77"/>
      <c r="O24" s="78">
        <v>19.9</v>
      </c>
      <c r="P24" s="77"/>
      <c r="Q24" s="78">
        <v>20</v>
      </c>
      <c r="R24" s="77"/>
      <c r="S24" s="97">
        <f>Q24</f>
        <v>20</v>
      </c>
      <c r="T24" s="77"/>
      <c r="U24" s="97">
        <f>S24</f>
        <v>20</v>
      </c>
      <c r="V24" s="79"/>
    </row>
    <row r="25" spans="1:24" s="56" customFormat="1" ht="12.75" customHeight="1" thickBot="1">
      <c r="A25" s="72"/>
      <c r="B25" s="72"/>
      <c r="C25" s="72" t="s">
        <v>90</v>
      </c>
      <c r="D25" s="72"/>
      <c r="E25" s="72"/>
      <c r="F25" s="72"/>
      <c r="G25" s="73">
        <f>G24/G$7</f>
        <v>0.06930960086299892</v>
      </c>
      <c r="H25" s="72"/>
      <c r="I25" s="73">
        <f>I24/I$7</f>
        <v>0.04779411764705882</v>
      </c>
      <c r="J25" s="72"/>
      <c r="K25" s="73">
        <f>K24/K$7</f>
        <v>0.04621118012422361</v>
      </c>
      <c r="L25" s="72"/>
      <c r="M25" s="73">
        <f>M24/M$7</f>
        <v>0.0427854180309976</v>
      </c>
      <c r="N25" s="72"/>
      <c r="O25" s="73">
        <f>O24/O$7</f>
        <v>0.042521367521367516</v>
      </c>
      <c r="P25" s="72"/>
      <c r="Q25" s="73">
        <f>Q24/Q$7</f>
        <v>0.04250797024442083</v>
      </c>
      <c r="R25" s="72"/>
      <c r="S25" s="73">
        <f>S24/S$7</f>
        <v>0.042087099251901815</v>
      </c>
      <c r="T25" s="72"/>
      <c r="U25" s="73">
        <f>U24/U$7</f>
        <v>0.041670395298912685</v>
      </c>
      <c r="V25" s="74"/>
      <c r="X25" s="3"/>
    </row>
    <row r="26" spans="1:22" ht="12.75">
      <c r="A26" s="75"/>
      <c r="B26" s="75" t="s">
        <v>97</v>
      </c>
      <c r="C26" s="75"/>
      <c r="D26" s="75"/>
      <c r="E26" s="75"/>
      <c r="F26" s="75"/>
      <c r="G26" s="90">
        <f>G24+G22</f>
        <v>39.7</v>
      </c>
      <c r="H26" s="116"/>
      <c r="I26" s="90">
        <f>I24+I22</f>
        <v>29.299999999999997</v>
      </c>
      <c r="J26" s="116"/>
      <c r="K26" s="90">
        <f>K24+K22</f>
        <v>30.700000000000003</v>
      </c>
      <c r="L26" s="116"/>
      <c r="M26" s="90">
        <f>M24+M22</f>
        <v>33.7</v>
      </c>
      <c r="N26" s="116"/>
      <c r="O26" s="90">
        <f>O24+O22</f>
        <v>34</v>
      </c>
      <c r="P26" s="116"/>
      <c r="Q26" s="90">
        <f>Q24+Q22</f>
        <v>34.1</v>
      </c>
      <c r="R26" s="116"/>
      <c r="S26" s="90">
        <f>S24+S22</f>
        <v>34.241</v>
      </c>
      <c r="T26" s="116"/>
      <c r="U26" s="90">
        <f>U24+U22</f>
        <v>34.38341</v>
      </c>
      <c r="V26" s="76"/>
    </row>
    <row r="27" spans="1:24" s="56" customFormat="1" ht="12.75" customHeight="1">
      <c r="A27" s="72"/>
      <c r="B27" s="72"/>
      <c r="C27" s="72" t="s">
        <v>90</v>
      </c>
      <c r="D27" s="72"/>
      <c r="E27" s="72"/>
      <c r="F27" s="72"/>
      <c r="G27" s="73">
        <f>G26/G$7</f>
        <v>0.10706580366774542</v>
      </c>
      <c r="H27" s="72"/>
      <c r="I27" s="73">
        <f>I26/I$7</f>
        <v>0.07694327731092436</v>
      </c>
      <c r="J27" s="72"/>
      <c r="K27" s="73">
        <f>K26/K$7</f>
        <v>0.07627329192546585</v>
      </c>
      <c r="L27" s="72"/>
      <c r="M27" s="73">
        <f>M26/M$7</f>
        <v>0.07356472385941934</v>
      </c>
      <c r="N27" s="72"/>
      <c r="O27" s="73">
        <f>O26/O$7</f>
        <v>0.07264957264957266</v>
      </c>
      <c r="P27" s="72"/>
      <c r="Q27" s="73">
        <f>Q26/Q$7</f>
        <v>0.07247608926673751</v>
      </c>
      <c r="R27" s="72"/>
      <c r="S27" s="73">
        <f>S26/S$7</f>
        <v>0.0720552182742185</v>
      </c>
      <c r="T27" s="72"/>
      <c r="U27" s="73">
        <f>U26/U$7</f>
        <v>0.07163851432122936</v>
      </c>
      <c r="V27" s="74"/>
      <c r="X27" s="3"/>
    </row>
    <row r="28" spans="1:22" ht="4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s="63" customFormat="1" ht="12.75">
      <c r="A29" s="77"/>
      <c r="B29" s="77" t="s">
        <v>98</v>
      </c>
      <c r="C29" s="77"/>
      <c r="D29" s="77"/>
      <c r="E29" s="77"/>
      <c r="F29" s="77"/>
      <c r="G29" s="78">
        <v>16.5</v>
      </c>
      <c r="H29" s="77"/>
      <c r="I29" s="78">
        <v>13.4</v>
      </c>
      <c r="J29" s="77"/>
      <c r="K29" s="78">
        <v>11.3</v>
      </c>
      <c r="L29" s="77"/>
      <c r="M29" s="78">
        <v>10.8</v>
      </c>
      <c r="N29" s="77"/>
      <c r="O29" s="78">
        <v>10.6</v>
      </c>
      <c r="P29" s="77"/>
      <c r="Q29" s="78">
        <v>10.7</v>
      </c>
      <c r="R29" s="77"/>
      <c r="S29" s="97">
        <f>S30*S7</f>
        <v>10.806999999999999</v>
      </c>
      <c r="T29" s="77"/>
      <c r="U29" s="97">
        <f>U30*U7</f>
        <v>10.915069999999998</v>
      </c>
      <c r="V29" s="79"/>
    </row>
    <row r="30" spans="1:24" s="56" customFormat="1" ht="12.75" customHeight="1">
      <c r="A30" s="72"/>
      <c r="B30" s="72"/>
      <c r="C30" s="72" t="s">
        <v>90</v>
      </c>
      <c r="D30" s="72"/>
      <c r="E30" s="72"/>
      <c r="F30" s="72"/>
      <c r="G30" s="73">
        <f>G29/G$7</f>
        <v>0.04449838187702265</v>
      </c>
      <c r="H30" s="72"/>
      <c r="I30" s="73">
        <f>I29/I$7</f>
        <v>0.0351890756302521</v>
      </c>
      <c r="J30" s="72"/>
      <c r="K30" s="73">
        <f>K29/K$7</f>
        <v>0.028074534161490684</v>
      </c>
      <c r="L30" s="72"/>
      <c r="M30" s="73">
        <f>M29/M$7</f>
        <v>0.023575638506876228</v>
      </c>
      <c r="N30" s="72"/>
      <c r="O30" s="73">
        <f>O29/O$7</f>
        <v>0.02264957264957265</v>
      </c>
      <c r="P30" s="72"/>
      <c r="Q30" s="73">
        <f>Q29/Q$7</f>
        <v>0.022741764080765142</v>
      </c>
      <c r="R30" s="72"/>
      <c r="S30" s="107">
        <f>Q30</f>
        <v>0.022741764080765142</v>
      </c>
      <c r="T30" s="72"/>
      <c r="U30" s="73">
        <f>S30</f>
        <v>0.022741764080765142</v>
      </c>
      <c r="V30" s="74"/>
      <c r="X30" s="3"/>
    </row>
    <row r="31" spans="1:22" ht="4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4" s="19" customFormat="1" ht="12.75">
      <c r="A32" s="69"/>
      <c r="B32" s="69" t="s">
        <v>99</v>
      </c>
      <c r="C32" s="69"/>
      <c r="D32" s="69"/>
      <c r="E32" s="69"/>
      <c r="F32" s="69"/>
      <c r="G32" s="70">
        <f>G19-G26-G29</f>
        <v>85.50000000000001</v>
      </c>
      <c r="H32" s="69"/>
      <c r="I32" s="70">
        <f>I19-I26-I29</f>
        <v>87.60000000000001</v>
      </c>
      <c r="J32" s="69"/>
      <c r="K32" s="70">
        <f>K19-K26-K29</f>
        <v>78.00000000000001</v>
      </c>
      <c r="L32" s="69"/>
      <c r="M32" s="70">
        <f>M19-M26-M29</f>
        <v>85.70000000000005</v>
      </c>
      <c r="N32" s="69"/>
      <c r="O32" s="70">
        <f>O19-O26-O29</f>
        <v>81.89999999999999</v>
      </c>
      <c r="P32" s="69"/>
      <c r="Q32" s="70">
        <f>Q19-Q26-Q29</f>
        <v>81.10000000000001</v>
      </c>
      <c r="R32" s="69"/>
      <c r="S32" s="70">
        <f>S19-S26-S29</f>
        <v>82.111</v>
      </c>
      <c r="T32" s="69"/>
      <c r="U32" s="70">
        <f>U19-U26-U29</f>
        <v>83.13211000000003</v>
      </c>
      <c r="V32" s="71"/>
      <c r="X32" s="62">
        <f>(U32/M32)^(1/(U$5-$M$5))-1</f>
        <v>-0.0075766008655852035</v>
      </c>
    </row>
    <row r="33" spans="1:24" s="56" customFormat="1" ht="12.75" customHeight="1">
      <c r="A33" s="72"/>
      <c r="B33" s="72"/>
      <c r="C33" s="72" t="s">
        <v>92</v>
      </c>
      <c r="D33" s="72"/>
      <c r="E33" s="72"/>
      <c r="F33" s="72"/>
      <c r="G33" s="73">
        <f>G32/G$7</f>
        <v>0.2305825242718447</v>
      </c>
      <c r="H33" s="72"/>
      <c r="I33" s="73">
        <f>I32/I$7</f>
        <v>0.2300420168067227</v>
      </c>
      <c r="J33" s="72"/>
      <c r="K33" s="73">
        <f>K32/K$7</f>
        <v>0.19378881987577642</v>
      </c>
      <c r="L33" s="72"/>
      <c r="M33" s="73">
        <f>M32/M$7</f>
        <v>0.18707705741104572</v>
      </c>
      <c r="N33" s="72"/>
      <c r="O33" s="73">
        <f>O32/O$7</f>
        <v>0.175</v>
      </c>
      <c r="P33" s="72"/>
      <c r="Q33" s="73">
        <f>Q32/Q$7</f>
        <v>0.17236981934112647</v>
      </c>
      <c r="R33" s="72"/>
      <c r="S33" s="73">
        <f>S32/S$7</f>
        <v>0.1727906903336455</v>
      </c>
      <c r="T33" s="72"/>
      <c r="U33" s="73">
        <f>U32/U$7</f>
        <v>0.17320739428663467</v>
      </c>
      <c r="V33" s="74"/>
      <c r="X33" s="3"/>
    </row>
    <row r="34" spans="1:22" ht="4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4" s="19" customFormat="1" ht="12.75">
      <c r="A35" s="69"/>
      <c r="B35" s="69" t="s">
        <v>100</v>
      </c>
      <c r="C35" s="69"/>
      <c r="D35" s="69"/>
      <c r="E35" s="69"/>
      <c r="F35" s="69"/>
      <c r="G35" s="70">
        <f>G32+G24+G29</f>
        <v>127.70000000000002</v>
      </c>
      <c r="H35" s="69"/>
      <c r="I35" s="70">
        <f>I32+I24+I29</f>
        <v>119.20000000000002</v>
      </c>
      <c r="J35" s="69"/>
      <c r="K35" s="70">
        <f>K32+K24+K29</f>
        <v>107.90000000000002</v>
      </c>
      <c r="L35" s="69"/>
      <c r="M35" s="70">
        <f>M32+M24+M29</f>
        <v>116.10000000000004</v>
      </c>
      <c r="N35" s="69"/>
      <c r="O35" s="70">
        <f>O32+O24+O29</f>
        <v>112.39999999999998</v>
      </c>
      <c r="P35" s="69"/>
      <c r="Q35" s="70">
        <f>Q32+Q24+Q29</f>
        <v>111.80000000000001</v>
      </c>
      <c r="R35" s="69"/>
      <c r="S35" s="70">
        <f>S32+S24+S29</f>
        <v>112.918</v>
      </c>
      <c r="T35" s="69"/>
      <c r="U35" s="70">
        <f>U32+U24+U29</f>
        <v>114.04718000000003</v>
      </c>
      <c r="V35" s="71"/>
      <c r="X35" s="62">
        <f>(U35/M35)^(1/(U$5-$M$5))-1</f>
        <v>-0.004449985910014886</v>
      </c>
    </row>
    <row r="36" spans="1:24" s="56" customFormat="1" ht="12.75" customHeight="1">
      <c r="A36" s="72"/>
      <c r="B36" s="72"/>
      <c r="C36" s="72" t="s">
        <v>92</v>
      </c>
      <c r="D36" s="72"/>
      <c r="E36" s="72"/>
      <c r="F36" s="72"/>
      <c r="G36" s="73">
        <f>G35/G$7</f>
        <v>0.3443905070118663</v>
      </c>
      <c r="H36" s="72"/>
      <c r="I36" s="73">
        <f>I35/I$7</f>
        <v>0.31302521008403367</v>
      </c>
      <c r="J36" s="72"/>
      <c r="K36" s="73">
        <f>K35/K$7</f>
        <v>0.26807453416149074</v>
      </c>
      <c r="L36" s="72"/>
      <c r="M36" s="73">
        <f>M35/M$7</f>
        <v>0.2534381139489195</v>
      </c>
      <c r="N36" s="72"/>
      <c r="O36" s="73">
        <f>O35/O$7</f>
        <v>0.24017094017094012</v>
      </c>
      <c r="P36" s="72"/>
      <c r="Q36" s="73">
        <f>Q35/Q$7</f>
        <v>0.23761955366631246</v>
      </c>
      <c r="R36" s="72"/>
      <c r="S36" s="73">
        <f>S35/S$7</f>
        <v>0.23761955366631246</v>
      </c>
      <c r="T36" s="72"/>
      <c r="U36" s="73">
        <f>U35/U$7</f>
        <v>0.2376195536663125</v>
      </c>
      <c r="V36" s="74"/>
      <c r="X36" s="3"/>
    </row>
    <row r="37" spans="1:22" ht="4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</row>
    <row r="38" ht="4.5" customHeight="1">
      <c r="C38" s="82"/>
    </row>
    <row r="39" spans="2:21" s="63" customFormat="1" ht="12.75">
      <c r="B39" s="63" t="s">
        <v>101</v>
      </c>
      <c r="G39" s="17">
        <v>4.9</v>
      </c>
      <c r="I39" s="17">
        <v>0.9</v>
      </c>
      <c r="K39" s="83">
        <v>0</v>
      </c>
      <c r="M39" s="17">
        <v>-2.4</v>
      </c>
      <c r="O39" s="83">
        <v>0</v>
      </c>
      <c r="P39" s="105"/>
      <c r="Q39" s="83">
        <v>0</v>
      </c>
      <c r="S39" s="103">
        <f>Q39</f>
        <v>0</v>
      </c>
      <c r="T39" s="98"/>
      <c r="U39" s="103">
        <f>S39</f>
        <v>0</v>
      </c>
    </row>
    <row r="40" spans="2:21" ht="12.75">
      <c r="B40" t="s">
        <v>102</v>
      </c>
      <c r="G40" s="83">
        <v>0</v>
      </c>
      <c r="I40" s="83">
        <v>0</v>
      </c>
      <c r="K40" s="83">
        <v>0</v>
      </c>
      <c r="M40" s="83">
        <v>0</v>
      </c>
      <c r="O40" s="83">
        <v>0</v>
      </c>
      <c r="Q40" s="83">
        <v>0</v>
      </c>
      <c r="S40" s="103">
        <f>Q40</f>
        <v>0</v>
      </c>
      <c r="T40" s="98"/>
      <c r="U40" s="103">
        <f>S40</f>
        <v>0</v>
      </c>
    </row>
    <row r="41" spans="2:21" ht="12.75">
      <c r="B41" t="s">
        <v>103</v>
      </c>
      <c r="G41" s="83">
        <v>0</v>
      </c>
      <c r="I41" s="83">
        <v>0</v>
      </c>
      <c r="K41" s="83">
        <v>0</v>
      </c>
      <c r="M41" s="83">
        <v>0</v>
      </c>
      <c r="O41" s="83">
        <v>0</v>
      </c>
      <c r="Q41" s="83">
        <v>0</v>
      </c>
      <c r="S41" s="103">
        <f>Q41</f>
        <v>0</v>
      </c>
      <c r="T41" s="98"/>
      <c r="U41" s="103">
        <f>S41</f>
        <v>0</v>
      </c>
    </row>
    <row r="42" spans="2:21" s="63" customFormat="1" ht="13.5" customHeight="1" thickBot="1">
      <c r="B42" s="63" t="s">
        <v>104</v>
      </c>
      <c r="G42" s="17">
        <v>0.1</v>
      </c>
      <c r="I42" s="83">
        <v>0</v>
      </c>
      <c r="K42" s="83">
        <v>0</v>
      </c>
      <c r="M42" s="113">
        <v>-0.1</v>
      </c>
      <c r="N42" s="105"/>
      <c r="O42" s="83">
        <v>0</v>
      </c>
      <c r="P42" s="105"/>
      <c r="Q42" s="83">
        <v>0</v>
      </c>
      <c r="R42" s="105"/>
      <c r="S42" s="103">
        <f>Q42</f>
        <v>0</v>
      </c>
      <c r="T42" s="104"/>
      <c r="U42" s="103">
        <f>S42</f>
        <v>0</v>
      </c>
    </row>
    <row r="43" spans="2:24" ht="12.75">
      <c r="B43" t="s">
        <v>105</v>
      </c>
      <c r="G43" s="65">
        <f>G35-SUM(G39:G42)</f>
        <v>122.70000000000002</v>
      </c>
      <c r="I43" s="65">
        <f>I35-SUM(I39:I42)</f>
        <v>118.30000000000001</v>
      </c>
      <c r="K43" s="65">
        <f>K35-SUM(K39:K42)</f>
        <v>107.90000000000002</v>
      </c>
      <c r="L43" s="95"/>
      <c r="M43" s="65">
        <f>M35-SUM(M39:M42)</f>
        <v>118.60000000000004</v>
      </c>
      <c r="O43" s="65">
        <f>O35-SUM(O39:O42)</f>
        <v>112.39999999999998</v>
      </c>
      <c r="Q43" s="65">
        <f>Q35-SUM(Q39:Q42)</f>
        <v>111.80000000000001</v>
      </c>
      <c r="R43" s="95"/>
      <c r="S43" s="65">
        <f>S35-SUM(S39:S42)</f>
        <v>112.918</v>
      </c>
      <c r="U43" s="65">
        <f>U35-SUM(U39:U42)</f>
        <v>114.04718000000003</v>
      </c>
      <c r="X43" s="62">
        <f>(U43/M43)^(1/(U$5-$M$5))-1</f>
        <v>-0.009738338305643857</v>
      </c>
    </row>
    <row r="44" ht="4.5" customHeight="1"/>
    <row r="45" spans="2:24" s="63" customFormat="1" ht="12.75">
      <c r="B45" s="63" t="s">
        <v>106</v>
      </c>
      <c r="G45" s="88">
        <f>G46*G43</f>
        <v>24.302077562326872</v>
      </c>
      <c r="I45" s="88">
        <f>I46*I43</f>
        <v>17.473355399255276</v>
      </c>
      <c r="K45" s="88">
        <f>K46*K43</f>
        <v>11.377751196172254</v>
      </c>
      <c r="M45" s="88">
        <f>M46*M43</f>
        <v>15.842523913408296</v>
      </c>
      <c r="O45" s="88">
        <f>O46*O43</f>
        <v>15.47536231884058</v>
      </c>
      <c r="Q45" s="88">
        <f>Q46*Q43</f>
        <v>15.394172086043026</v>
      </c>
      <c r="S45" s="88">
        <f>S46*S43</f>
        <v>15.548113806903457</v>
      </c>
      <c r="U45" s="88">
        <f>U46*U43</f>
        <v>15.703594944972494</v>
      </c>
      <c r="X45" s="105"/>
    </row>
    <row r="46" spans="3:24" s="56" customFormat="1" ht="12.75" customHeight="1" thickBot="1">
      <c r="C46" s="56" t="s">
        <v>107</v>
      </c>
      <c r="G46" s="53">
        <f>'Buyer P&amp;L'!G46</f>
        <v>0.19806094182825484</v>
      </c>
      <c r="I46" s="53">
        <f>'Buyer P&amp;L'!I46</f>
        <v>0.1477037649979313</v>
      </c>
      <c r="K46" s="53">
        <f>'Buyer P&amp;L'!K46</f>
        <v>0.10544718439455283</v>
      </c>
      <c r="M46" s="53">
        <f>'Buyer P&amp;L'!M46</f>
        <v>0.13357945964087936</v>
      </c>
      <c r="O46" s="53">
        <f>'Buyer P&amp;L'!O46</f>
        <v>0.13768115942028988</v>
      </c>
      <c r="Q46" s="53">
        <f>'Buyer P&amp;L'!Q46</f>
        <v>0.13769384692346176</v>
      </c>
      <c r="S46" s="53">
        <f>'Buyer P&amp;L'!S46</f>
        <v>0.13769384692346176</v>
      </c>
      <c r="U46" s="53">
        <f>'Buyer P&amp;L'!U46</f>
        <v>0.13769384692346176</v>
      </c>
      <c r="X46" s="63"/>
    </row>
    <row r="47" spans="7:24" ht="4.5" customHeight="1">
      <c r="G47" s="65"/>
      <c r="I47" s="65"/>
      <c r="K47" s="65"/>
      <c r="M47" s="65"/>
      <c r="O47" s="65"/>
      <c r="Q47" s="65"/>
      <c r="S47" s="65"/>
      <c r="U47" s="65"/>
      <c r="X47" s="3"/>
    </row>
    <row r="48" spans="2:24" s="19" customFormat="1" ht="12.75">
      <c r="B48" s="19" t="s">
        <v>108</v>
      </c>
      <c r="G48" s="84">
        <f>G43-G45</f>
        <v>98.39792243767315</v>
      </c>
      <c r="H48" s="84"/>
      <c r="I48" s="84">
        <f>I43-I45</f>
        <v>100.82664460074474</v>
      </c>
      <c r="K48" s="84">
        <f>K43-K45</f>
        <v>96.52224880382776</v>
      </c>
      <c r="M48" s="84">
        <f>M43-M45</f>
        <v>102.75747608659174</v>
      </c>
      <c r="O48" s="84">
        <f>O43-O45</f>
        <v>96.9246376811594</v>
      </c>
      <c r="Q48" s="84">
        <f>Q43-Q45</f>
        <v>96.40582791395698</v>
      </c>
      <c r="S48" s="84">
        <f>S43-S45</f>
        <v>97.36988619309655</v>
      </c>
      <c r="U48" s="84">
        <f>U43-U45</f>
        <v>98.34358505502753</v>
      </c>
      <c r="X48" s="62">
        <f>(U48/M48)^(1/(U$5-$M$5))-1</f>
        <v>-0.010916056107146632</v>
      </c>
    </row>
    <row r="49" spans="3:21" s="56" customFormat="1" ht="12.75" customHeight="1">
      <c r="C49" s="56" t="s">
        <v>92</v>
      </c>
      <c r="G49" s="64">
        <f>G48/G$7</f>
        <v>0.26536656536589304</v>
      </c>
      <c r="I49" s="64">
        <f>I48/I$7</f>
        <v>0.2647758524179221</v>
      </c>
      <c r="K49" s="64">
        <f>K48/K$7</f>
        <v>0.23980682932628017</v>
      </c>
      <c r="M49" s="64">
        <f>M48/M$7</f>
        <v>0.22431232500893197</v>
      </c>
      <c r="O49" s="64">
        <f>O48/O$7</f>
        <v>0.207103926669144</v>
      </c>
      <c r="Q49" s="64">
        <f>Q48/Q$7</f>
        <v>0.2049008032177619</v>
      </c>
      <c r="S49" s="64">
        <f>S48/S$7</f>
        <v>0.2049008032177619</v>
      </c>
      <c r="U49" s="64">
        <f>U48/U$7</f>
        <v>0.20490080321776197</v>
      </c>
    </row>
    <row r="50" ht="4.5" customHeight="1">
      <c r="X50" s="3"/>
    </row>
    <row r="51" spans="1:24" s="19" customFormat="1" ht="12.75">
      <c r="A51" s="85"/>
      <c r="B51" s="85" t="s">
        <v>109</v>
      </c>
      <c r="C51" s="85"/>
      <c r="D51" s="85"/>
      <c r="E51" s="85"/>
      <c r="F51" s="85"/>
      <c r="G51" s="86">
        <f>G48/G53</f>
        <v>2.8062378062306967</v>
      </c>
      <c r="H51" s="85"/>
      <c r="I51" s="86">
        <f>I48/I53</f>
        <v>2.9759930519700335</v>
      </c>
      <c r="J51" s="85"/>
      <c r="K51" s="86">
        <f>K48/K53</f>
        <v>2.7128231816702577</v>
      </c>
      <c r="L51" s="85"/>
      <c r="M51" s="86">
        <f>M48/M53</f>
        <v>2.8480453460807023</v>
      </c>
      <c r="N51" s="85"/>
      <c r="O51" s="86">
        <f>O48/O53</f>
        <v>2.6496620470519248</v>
      </c>
      <c r="P51" s="85"/>
      <c r="Q51" s="86">
        <f>Q48/Q53</f>
        <v>2.6354791665925914</v>
      </c>
      <c r="R51" s="85"/>
      <c r="S51" s="86">
        <f>S48/S53</f>
        <v>2.661833958258517</v>
      </c>
      <c r="T51" s="85"/>
      <c r="U51" s="86">
        <f>U48/U53</f>
        <v>2.6884522978411027</v>
      </c>
      <c r="V51" s="87"/>
      <c r="X51" s="62">
        <f>(U51/M51)^(1/(U$5-$M$5))-1</f>
        <v>-0.014313385761233643</v>
      </c>
    </row>
    <row r="52" ht="4.5" customHeight="1"/>
    <row r="53" spans="2:21" ht="12.75">
      <c r="B53" t="s">
        <v>110</v>
      </c>
      <c r="G53" s="12">
        <v>35.064</v>
      </c>
      <c r="H53" s="12"/>
      <c r="I53" s="12">
        <v>33.88</v>
      </c>
      <c r="J53" s="12"/>
      <c r="K53" s="12">
        <v>35.58</v>
      </c>
      <c r="L53" s="12"/>
      <c r="M53" s="12">
        <v>36.08</v>
      </c>
      <c r="N53" s="12"/>
      <c r="O53" s="12">
        <v>36.58</v>
      </c>
      <c r="P53" s="12"/>
      <c r="Q53" s="12">
        <v>36.58</v>
      </c>
      <c r="R53" s="114"/>
      <c r="S53" s="115">
        <f>Q53</f>
        <v>36.58</v>
      </c>
      <c r="T53" s="115"/>
      <c r="U53" s="115">
        <f>S53</f>
        <v>36.58</v>
      </c>
    </row>
    <row r="55" ht="12.75">
      <c r="B55" s="19" t="s">
        <v>111</v>
      </c>
    </row>
    <row r="56" spans="3:21" ht="12.75">
      <c r="C56" t="s">
        <v>96</v>
      </c>
      <c r="G56" s="16">
        <f>G24*(1-G46)</f>
        <v>20.60983379501385</v>
      </c>
      <c r="I56" s="16">
        <f>I24*(1-I46)</f>
        <v>15.511791477037649</v>
      </c>
      <c r="K56" s="16">
        <f>K24*(1-K46)</f>
        <v>16.638682370261318</v>
      </c>
      <c r="M56" s="16">
        <f>M24*(1-M46)</f>
        <v>16.981842591038767</v>
      </c>
      <c r="O56" s="16">
        <f>O24*(1-O46)</f>
        <v>17.16014492753623</v>
      </c>
      <c r="Q56" s="16">
        <f>Q24*(1-Q46)</f>
        <v>17.246123061530763</v>
      </c>
      <c r="S56" s="16">
        <f>S24*(1-S46)</f>
        <v>17.246123061530763</v>
      </c>
      <c r="U56" s="16">
        <f>U24*(1-U46)</f>
        <v>17.246123061530763</v>
      </c>
    </row>
    <row r="57" spans="3:21" ht="12.75">
      <c r="C57" t="s">
        <v>98</v>
      </c>
      <c r="G57" s="88">
        <f>G29*(1-G46)</f>
        <v>13.231994459833794</v>
      </c>
      <c r="I57" s="88">
        <f>I29*(1-I46)</f>
        <v>11.42076954902772</v>
      </c>
      <c r="K57" s="88">
        <f>K29*(1-K46)</f>
        <v>10.108446816341553</v>
      </c>
      <c r="M57" s="88">
        <f>M29*(1-M46)</f>
        <v>9.357341835878504</v>
      </c>
      <c r="O57" s="88">
        <f>O29*(1-O46)</f>
        <v>9.140579710144927</v>
      </c>
      <c r="Q57" s="88">
        <f>Q29*(1-Q46)</f>
        <v>9.22667583791896</v>
      </c>
      <c r="S57" s="88">
        <f>S29*(1-S46)</f>
        <v>9.318942596298147</v>
      </c>
      <c r="U57" s="88">
        <f>U29*(1-U46)</f>
        <v>9.41213202226113</v>
      </c>
    </row>
    <row r="58" spans="3:21" ht="13.5" customHeight="1" thickBot="1">
      <c r="C58" t="s">
        <v>112</v>
      </c>
      <c r="G58" s="17">
        <v>8.2</v>
      </c>
      <c r="I58" s="17">
        <v>3.4</v>
      </c>
      <c r="K58" s="17">
        <v>0.7</v>
      </c>
      <c r="M58" s="113">
        <v>0.1</v>
      </c>
      <c r="N58" s="98"/>
      <c r="O58" s="83">
        <v>0</v>
      </c>
      <c r="P58" s="98"/>
      <c r="Q58" s="83">
        <v>0</v>
      </c>
      <c r="R58" s="98"/>
      <c r="S58" s="103">
        <f>Q58</f>
        <v>0</v>
      </c>
      <c r="T58" s="98"/>
      <c r="U58" s="103">
        <f>S58</f>
        <v>0</v>
      </c>
    </row>
    <row r="59" spans="7:21" ht="4.5" customHeight="1">
      <c r="G59" s="65"/>
      <c r="I59" s="65"/>
      <c r="K59" s="65"/>
      <c r="M59" s="65"/>
      <c r="O59" s="106"/>
      <c r="Q59" s="106"/>
      <c r="S59" s="106"/>
      <c r="U59" s="106"/>
    </row>
    <row r="60" spans="2:24" s="19" customFormat="1" ht="12.75">
      <c r="B60" s="19" t="s">
        <v>113</v>
      </c>
      <c r="G60" s="84">
        <f>G48-SUM(G56:G58)</f>
        <v>56.3560941828255</v>
      </c>
      <c r="I60" s="84">
        <f>I48-SUM(I56:I58)</f>
        <v>70.49408357467938</v>
      </c>
      <c r="K60" s="84">
        <f>K48-SUM(K56:K58)</f>
        <v>69.0751196172249</v>
      </c>
      <c r="M60" s="84">
        <f>M48-SUM(M56:M58)</f>
        <v>76.31829165967446</v>
      </c>
      <c r="O60" s="84">
        <f>O48-SUM(O56:O58)</f>
        <v>70.62391304347824</v>
      </c>
      <c r="Q60" s="84">
        <f>Q48-SUM(Q56:Q58)</f>
        <v>69.93302901450727</v>
      </c>
      <c r="S60" s="84">
        <f>S48-SUM(S56:S58)</f>
        <v>70.80482053526764</v>
      </c>
      <c r="U60" s="84">
        <f>U48-SUM(U56:U58)</f>
        <v>71.68532997123563</v>
      </c>
      <c r="X60" s="62">
        <f>(U60/M60)^(1/(U$5-$M$5))-1</f>
        <v>-0.015534701931343542</v>
      </c>
    </row>
    <row r="61" spans="3:21" s="56" customFormat="1" ht="12.75" customHeight="1">
      <c r="C61" s="56" t="s">
        <v>92</v>
      </c>
      <c r="G61" s="64">
        <f>G60/G$7</f>
        <v>0.15198515151786812</v>
      </c>
      <c r="I61" s="64">
        <f>I60/I$7</f>
        <v>0.18512101779064963</v>
      </c>
      <c r="K61" s="64">
        <f>K60/K$7</f>
        <v>0.17161520401795005</v>
      </c>
      <c r="M61" s="64">
        <f>M60/M$7</f>
        <v>0.1665974495954474</v>
      </c>
      <c r="O61" s="64">
        <f>O60/O$7</f>
        <v>0.15090579710144922</v>
      </c>
      <c r="Q61" s="64">
        <f>Q60/Q$7</f>
        <v>0.14863555582254467</v>
      </c>
      <c r="S61" s="64">
        <f>S60/S$7</f>
        <v>0.14899847546904524</v>
      </c>
      <c r="U61" s="64">
        <f>U60/U$7</f>
        <v>0.1493578018517191</v>
      </c>
    </row>
    <row r="62" ht="4.5" customHeight="1">
      <c r="X62" s="3"/>
    </row>
    <row r="63" spans="1:24" ht="12.75">
      <c r="A63" s="85"/>
      <c r="B63" s="85" t="s">
        <v>114</v>
      </c>
      <c r="C63" s="85"/>
      <c r="D63" s="85"/>
      <c r="E63" s="85"/>
      <c r="F63" s="85"/>
      <c r="G63" s="86">
        <f>G60/G53</f>
        <v>1.6072351751889544</v>
      </c>
      <c r="H63" s="85"/>
      <c r="I63" s="86">
        <f>I60/I53</f>
        <v>2.080699042936227</v>
      </c>
      <c r="J63" s="85"/>
      <c r="K63" s="86">
        <f>K60/K53</f>
        <v>1.941403024655</v>
      </c>
      <c r="L63" s="85"/>
      <c r="M63" s="86">
        <f>M60/M53</f>
        <v>2.115251986132884</v>
      </c>
      <c r="N63" s="85"/>
      <c r="O63" s="86">
        <f>O60/O53</f>
        <v>1.930670121472888</v>
      </c>
      <c r="P63" s="85"/>
      <c r="Q63" s="86">
        <f>Q60/Q53</f>
        <v>1.911783187930762</v>
      </c>
      <c r="R63" s="85"/>
      <c r="S63" s="86">
        <f>S60/S53</f>
        <v>1.9356156515928824</v>
      </c>
      <c r="T63" s="85"/>
      <c r="U63" s="86">
        <f>U60/U53</f>
        <v>1.9596864398916247</v>
      </c>
      <c r="V63" s="87"/>
      <c r="X63" s="62">
        <f>(U63/M63)^(1/(U$5-$M$5))-1</f>
        <v>-0.018916167348105528</v>
      </c>
    </row>
    <row r="65" spans="2:21" s="89" customFormat="1" ht="12.75" customHeight="1">
      <c r="B65" s="89" t="s">
        <v>115</v>
      </c>
      <c r="G65" s="23">
        <v>26</v>
      </c>
      <c r="I65" s="23">
        <v>12.5</v>
      </c>
      <c r="K65" s="23">
        <v>18</v>
      </c>
      <c r="M65" s="23">
        <v>16</v>
      </c>
      <c r="O65" s="23">
        <v>14.1</v>
      </c>
      <c r="Q65" s="16">
        <f>Q66*Q7</f>
        <v>14.175320512820512</v>
      </c>
      <c r="S65" s="16">
        <f>S66*S7</f>
        <v>14.317073717948718</v>
      </c>
      <c r="U65" s="16">
        <f>U66*U7</f>
        <v>14.460244455128205</v>
      </c>
    </row>
    <row r="66" spans="1:23" s="56" customFormat="1" ht="12.75" customHeight="1">
      <c r="A66" s="72"/>
      <c r="B66" s="72"/>
      <c r="C66" s="72" t="s">
        <v>90</v>
      </c>
      <c r="D66" s="72"/>
      <c r="E66" s="72"/>
      <c r="F66" s="72"/>
      <c r="G66" s="73">
        <f>G65/G$7</f>
        <v>0.07011866235167206</v>
      </c>
      <c r="H66" s="72"/>
      <c r="I66" s="73">
        <f>I65/I$7</f>
        <v>0.03282563025210084</v>
      </c>
      <c r="J66" s="72"/>
      <c r="K66" s="73">
        <f>K65/K$7</f>
        <v>0.04472049689440994</v>
      </c>
      <c r="L66" s="72"/>
      <c r="M66" s="73">
        <f>M65/M$7</f>
        <v>0.034926871862038855</v>
      </c>
      <c r="N66" s="72"/>
      <c r="O66" s="73">
        <f>O65/O$7</f>
        <v>0.03012820512820513</v>
      </c>
      <c r="P66" s="72"/>
      <c r="Q66" s="73">
        <f>O66</f>
        <v>0.03012820512820513</v>
      </c>
      <c r="R66" s="72"/>
      <c r="S66" s="73">
        <f>Q66</f>
        <v>0.03012820512820513</v>
      </c>
      <c r="T66" s="72"/>
      <c r="U66" s="73">
        <f>S66</f>
        <v>0.03012820512820513</v>
      </c>
      <c r="V66" s="72"/>
      <c r="W66" s="7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2008-10-06T18:34:59Z</dcterms:created>
  <dcterms:modified xsi:type="dcterms:W3CDTF">2009-06-08T22:09:05Z</dcterms:modified>
  <cp:category/>
  <cp:version/>
  <cp:contentType/>
  <cp:contentStatus/>
</cp:coreProperties>
</file>