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APV" sheetId="1" r:id="rId1"/>
    <sheet name="Prob-Adj APV" sheetId="2" r:id="rId2"/>
    <sheet name="Comps" sheetId="3" r:id="rId3"/>
    <sheet name="Ownership" sheetId="4" r:id="rId4"/>
  </sheets>
  <definedNames/>
  <calcPr fullCalcOnLoad="1" iterate="1" iterateCount="100" iterateDelta="0.001"/>
</workbook>
</file>

<file path=xl/comments3.xml><?xml version="1.0" encoding="utf-8"?>
<comments xmlns="http://schemas.openxmlformats.org/spreadsheetml/2006/main">
  <authors>
    <author>Ryan MacGregor</author>
  </authors>
  <commentList>
    <comment ref="O20" authorId="0">
      <text>
        <r>
          <rPr>
            <sz val="8"/>
            <color indexed="8"/>
            <rFont val="Tahoma"/>
            <family val="0"/>
          </rPr>
          <t>Based on comparable companies.</t>
        </r>
      </text>
    </comment>
  </commentList>
</comments>
</file>

<file path=xl/sharedStrings.xml><?xml version="1.0" encoding="utf-8"?>
<sst xmlns="http://schemas.openxmlformats.org/spreadsheetml/2006/main" count="94" uniqueCount="41">
  <si>
    <t>Tax Rate</t>
  </si>
  <si>
    <t>Discount Rate</t>
  </si>
  <si>
    <t>Growth Rate</t>
  </si>
  <si>
    <t>Free Cash Flow Calculation</t>
  </si>
  <si>
    <t>EBIT</t>
  </si>
  <si>
    <t>Less: Taxes</t>
  </si>
  <si>
    <t>Less: Capital Expenditures</t>
  </si>
  <si>
    <t>Plus: Depreciation</t>
  </si>
  <si>
    <t>FCF</t>
  </si>
  <si>
    <t>Terminal Value</t>
  </si>
  <si>
    <t>Total FCF</t>
  </si>
  <si>
    <t>Valuation - Entrepreneur's Perspective</t>
  </si>
  <si>
    <t>Discount Factor</t>
  </si>
  <si>
    <t>PV of FCF</t>
  </si>
  <si>
    <t>APV</t>
  </si>
  <si>
    <t>Less: Net Debt</t>
  </si>
  <si>
    <t>Pre-Money Value</t>
  </si>
  <si>
    <t>Plus: Investment</t>
  </si>
  <si>
    <t>Post-Money Value</t>
  </si>
  <si>
    <t>Valuation - VC's Perspective</t>
  </si>
  <si>
    <t>Less: Investment</t>
  </si>
  <si>
    <t>Probability of Success</t>
  </si>
  <si>
    <t>VC Hurdle Rate</t>
  </si>
  <si>
    <t>Valuation - Comps</t>
  </si>
  <si>
    <t>Enterprise Value</t>
  </si>
  <si>
    <t>Equity Value</t>
  </si>
  <si>
    <t>Post-</t>
  </si>
  <si>
    <t>Invest-</t>
  </si>
  <si>
    <t>Pre-</t>
  </si>
  <si>
    <t>Entrepreneur</t>
  </si>
  <si>
    <t>VC</t>
  </si>
  <si>
    <t>Money</t>
  </si>
  <si>
    <t>-</t>
  </si>
  <si>
    <t>ment</t>
  </si>
  <si>
    <t>=</t>
  </si>
  <si>
    <t>Ownership</t>
  </si>
  <si>
    <t>Entrepreneur Perspective</t>
  </si>
  <si>
    <t>VC Perspective</t>
  </si>
  <si>
    <t>Comparables</t>
  </si>
  <si>
    <t>Terminal Year Sales</t>
  </si>
  <si>
    <t>Terminal Sales Multiple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</si>
</sst>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_);\(0.0%\);0.0%_);@_)"/>
    <numFmt numFmtId="169" formatCode="&quot;Year &quot;0"/>
    <numFmt numFmtId="170" formatCode="0.00_);\(0.00\)"/>
    <numFmt numFmtId="171" formatCode="0.0\x_);\(0.0\x\);0.0\x_);@_)"/>
    <numFmt numFmtId="172" formatCode="0.00\x_);\(0.00\x\);0.00\x_);@_)"/>
  </numFmts>
  <fonts count="47">
    <font>
      <sz val="10"/>
      <name val="Arial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i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i/>
      <sz val="10"/>
      <name val="Arial"/>
      <family val="2"/>
    </font>
    <font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8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8" fontId="1" fillId="0" borderId="10" xfId="0" applyNumberFormat="1" applyFont="1" applyBorder="1" applyAlignment="1">
      <alignment horizontal="centerContinuous"/>
    </xf>
    <xf numFmtId="169" fontId="3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7" fontId="0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5" fontId="5" fillId="0" borderId="0" xfId="0" applyNumberFormat="1" applyFont="1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/>
    </xf>
    <xf numFmtId="5" fontId="9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9" fillId="0" borderId="10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169" fontId="2" fillId="0" borderId="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4" width="7.2812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6" width="8.7109375" style="0" customWidth="1"/>
  </cols>
  <sheetData>
    <row r="1" spans="1:4" ht="12.75">
      <c r="A1" t="s">
        <v>0</v>
      </c>
      <c r="D1" s="1">
        <v>0.35</v>
      </c>
    </row>
    <row r="2" spans="1:4" ht="12.75">
      <c r="A2" t="s">
        <v>1</v>
      </c>
      <c r="C2" s="1"/>
      <c r="D2" s="1">
        <v>0.13</v>
      </c>
    </row>
    <row r="3" spans="1:4" ht="12.75">
      <c r="A3" t="s">
        <v>2</v>
      </c>
      <c r="C3" s="1"/>
      <c r="D3" s="1">
        <v>0.03</v>
      </c>
    </row>
    <row r="4" spans="3:4" ht="12.75">
      <c r="C4" s="1"/>
      <c r="D4" s="1"/>
    </row>
    <row r="5" spans="1:15" ht="12.75">
      <c r="A5" s="2" t="s">
        <v>3</v>
      </c>
      <c r="B5" s="3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4" ht="12.75">
      <c r="C6" s="1"/>
      <c r="D6" s="1"/>
    </row>
    <row r="7" spans="5:15" ht="12.75">
      <c r="E7" s="5">
        <v>0</v>
      </c>
      <c r="G7" s="6">
        <f>E7+1</f>
        <v>1</v>
      </c>
      <c r="I7" s="6">
        <f>G7+1</f>
        <v>2</v>
      </c>
      <c r="K7" s="6">
        <f>I7+1</f>
        <v>3</v>
      </c>
      <c r="M7" s="6">
        <f>K7+1</f>
        <v>4</v>
      </c>
      <c r="O7" s="6">
        <f>M7+1</f>
        <v>5</v>
      </c>
    </row>
    <row r="8" ht="4.5" customHeight="1"/>
    <row r="9" spans="1:15" ht="12.75">
      <c r="A9" t="s">
        <v>4</v>
      </c>
      <c r="E9" s="7">
        <v>-313</v>
      </c>
      <c r="F9" s="8"/>
      <c r="G9" s="7">
        <v>-602</v>
      </c>
      <c r="H9" s="8"/>
      <c r="I9" s="7">
        <v>2412</v>
      </c>
      <c r="J9" s="8"/>
      <c r="K9" s="7">
        <v>5129</v>
      </c>
      <c r="L9" s="8"/>
      <c r="M9" s="7">
        <v>5298</v>
      </c>
      <c r="N9" s="8"/>
      <c r="O9" s="7">
        <v>5421</v>
      </c>
    </row>
    <row r="10" spans="1:15" ht="12.75">
      <c r="A10" t="s">
        <v>5</v>
      </c>
      <c r="E10" s="9">
        <f>IF(E9&lt;0,0,-E9*$D$1)</f>
        <v>0</v>
      </c>
      <c r="F10" s="10"/>
      <c r="G10" s="9">
        <f>IF(G9&lt;0,0,-G9*$D$1)</f>
        <v>0</v>
      </c>
      <c r="H10" s="10"/>
      <c r="I10" s="9">
        <f>IF(I9&lt;0,0,-I9*$D$1)</f>
        <v>-844.1999999999999</v>
      </c>
      <c r="J10" s="10"/>
      <c r="K10" s="9">
        <f>IF(K9&lt;0,0,-K9*$D$1)</f>
        <v>-1795.1499999999999</v>
      </c>
      <c r="L10" s="10"/>
      <c r="M10" s="9">
        <f>IF(M9&lt;0,0,-M9*$D$1)</f>
        <v>-1854.3</v>
      </c>
      <c r="N10" s="10"/>
      <c r="O10" s="9">
        <f>IF(O9&lt;0,0,-O9*$D$1)</f>
        <v>-1897.35</v>
      </c>
    </row>
    <row r="11" spans="1:15" ht="12.75">
      <c r="A11" t="s">
        <v>6</v>
      </c>
      <c r="E11" s="11">
        <v>0</v>
      </c>
      <c r="F11" s="10"/>
      <c r="G11" s="11">
        <v>-2055</v>
      </c>
      <c r="H11" s="10"/>
      <c r="I11" s="11">
        <v>-1980</v>
      </c>
      <c r="J11" s="11"/>
      <c r="K11" s="11">
        <v>0</v>
      </c>
      <c r="L11" s="11"/>
      <c r="M11" s="11">
        <v>0</v>
      </c>
      <c r="N11" s="11"/>
      <c r="O11" s="11">
        <v>0</v>
      </c>
    </row>
    <row r="12" spans="1:15" ht="12.75">
      <c r="A12" t="s">
        <v>7</v>
      </c>
      <c r="E12" s="12">
        <v>0</v>
      </c>
      <c r="F12" s="10"/>
      <c r="G12" s="12">
        <v>456</v>
      </c>
      <c r="H12" s="11"/>
      <c r="I12" s="12">
        <v>1210</v>
      </c>
      <c r="J12" s="11"/>
      <c r="K12" s="12">
        <v>1389</v>
      </c>
      <c r="L12" s="11"/>
      <c r="M12" s="12">
        <v>0</v>
      </c>
      <c r="N12" s="11"/>
      <c r="O12" s="12">
        <v>0</v>
      </c>
    </row>
    <row r="13" spans="2:15" ht="12.75">
      <c r="B13" t="s">
        <v>8</v>
      </c>
      <c r="E13" s="8">
        <f>SUM(E9:E12)</f>
        <v>-313</v>
      </c>
      <c r="F13" s="8"/>
      <c r="G13" s="8">
        <f>SUM(G9:G12)</f>
        <v>-2201</v>
      </c>
      <c r="H13" s="8"/>
      <c r="I13" s="8">
        <f>SUM(I9:I12)</f>
        <v>797.8000000000002</v>
      </c>
      <c r="J13" s="8"/>
      <c r="K13" s="8">
        <f>SUM(K9:K12)</f>
        <v>4722.85</v>
      </c>
      <c r="L13" s="8"/>
      <c r="M13" s="8">
        <f>SUM(M9:M12)</f>
        <v>3443.7</v>
      </c>
      <c r="N13" s="8"/>
      <c r="O13" s="8">
        <f>SUM(O9:O12)</f>
        <v>3523.65</v>
      </c>
    </row>
    <row r="14" spans="1:15" ht="12.75">
      <c r="A14" t="s">
        <v>9</v>
      </c>
      <c r="E14" s="13"/>
      <c r="G14" s="13"/>
      <c r="I14" s="13"/>
      <c r="K14" s="13"/>
      <c r="M14" s="13"/>
      <c r="O14" s="14">
        <f>O13*(1+$D$3)/($D$2-$D$3)</f>
        <v>36293.595</v>
      </c>
    </row>
    <row r="15" spans="2:15" ht="12.75">
      <c r="B15" t="s">
        <v>10</v>
      </c>
      <c r="E15" s="8">
        <f>SUM(E13:E14)</f>
        <v>-313</v>
      </c>
      <c r="F15" s="8"/>
      <c r="G15" s="8">
        <f>SUM(G13:G14)</f>
        <v>-2201</v>
      </c>
      <c r="H15" s="8"/>
      <c r="I15" s="8">
        <f>SUM(I13:I14)</f>
        <v>797.8000000000002</v>
      </c>
      <c r="J15" s="8"/>
      <c r="K15" s="8">
        <f>SUM(K13:K14)</f>
        <v>4722.85</v>
      </c>
      <c r="L15" s="8"/>
      <c r="M15" s="8">
        <f>SUM(M13:M14)</f>
        <v>3443.7</v>
      </c>
      <c r="N15" s="8"/>
      <c r="O15" s="8">
        <f>SUM(O13:O14)</f>
        <v>39817.245</v>
      </c>
    </row>
    <row r="16" spans="5:15" ht="12.75">
      <c r="E16" s="15"/>
      <c r="G16" s="15"/>
      <c r="I16" s="15"/>
      <c r="K16" s="15"/>
      <c r="M16" s="15"/>
      <c r="O16" s="15"/>
    </row>
    <row r="17" spans="1:15" ht="12.75">
      <c r="A17" s="2" t="s">
        <v>11</v>
      </c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4" ht="12.75">
      <c r="C18" s="1"/>
      <c r="D18" s="1"/>
    </row>
    <row r="19" spans="1:15" ht="12.75">
      <c r="A19" t="s">
        <v>12</v>
      </c>
      <c r="E19" s="16">
        <f>1/(1+$D$2)^E$7</f>
        <v>1</v>
      </c>
      <c r="F19" s="17"/>
      <c r="G19" s="16">
        <f>1/(1+$D$2)^G$7</f>
        <v>0.8849557522123894</v>
      </c>
      <c r="I19" s="16">
        <f>1/(1+$D$2)^I$7</f>
        <v>0.7831466833737961</v>
      </c>
      <c r="K19" s="16">
        <f>1/(1+$D$2)^K$7</f>
        <v>0.6930501622776958</v>
      </c>
      <c r="M19" s="16">
        <f>1/(1+$D$2)^M$7</f>
        <v>0.6133187276793768</v>
      </c>
      <c r="O19" s="16">
        <f>1/(1+$D$2)^O$7</f>
        <v>0.5427599359994486</v>
      </c>
    </row>
    <row r="20" spans="1:15" ht="12.75">
      <c r="A20" t="s">
        <v>13</v>
      </c>
      <c r="E20" s="18">
        <f>E19*E15</f>
        <v>-313</v>
      </c>
      <c r="F20" s="18"/>
      <c r="G20" s="18">
        <f>G19*G15</f>
        <v>-1947.7876106194692</v>
      </c>
      <c r="H20" s="8"/>
      <c r="I20" s="8">
        <f>I19*I15</f>
        <v>624.7944239956147</v>
      </c>
      <c r="J20" s="8"/>
      <c r="K20" s="8">
        <f>K19*K15</f>
        <v>3273.171958913216</v>
      </c>
      <c r="L20" s="8"/>
      <c r="M20" s="8">
        <f>M19*M15</f>
        <v>2112.0857025094697</v>
      </c>
      <c r="N20" s="8"/>
      <c r="O20" s="8">
        <f>O19*O15</f>
        <v>21611.205347874366</v>
      </c>
    </row>
    <row r="22" spans="1:5" ht="12.75">
      <c r="A22" t="s">
        <v>14</v>
      </c>
      <c r="E22" s="8">
        <f>SUM(E20:O20)</f>
        <v>25360.469822673196</v>
      </c>
    </row>
    <row r="23" spans="1:5" ht="12.75">
      <c r="A23" t="s">
        <v>15</v>
      </c>
      <c r="E23" s="12">
        <f>60-310</f>
        <v>-250</v>
      </c>
    </row>
    <row r="24" spans="2:5" s="19" customFormat="1" ht="12.75">
      <c r="B24" s="19" t="s">
        <v>16</v>
      </c>
      <c r="E24" s="20">
        <f>SUM(E22:E23)</f>
        <v>25110.469822673196</v>
      </c>
    </row>
    <row r="25" spans="1:5" ht="12.75">
      <c r="A25" t="s">
        <v>17</v>
      </c>
      <c r="E25" s="14">
        <f>-SUM(E20:G20)</f>
        <v>2260.787610619469</v>
      </c>
    </row>
    <row r="26" spans="2:5" s="19" customFormat="1" ht="12.75">
      <c r="B26" s="19" t="s">
        <v>18</v>
      </c>
      <c r="E26" s="20">
        <f>SUM(E24:E25)</f>
        <v>27371.257433292667</v>
      </c>
    </row>
    <row r="28" spans="1:15" ht="12.75">
      <c r="A28" s="2" t="s">
        <v>19</v>
      </c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4" ht="12.75">
      <c r="C29" s="1"/>
      <c r="D29" s="1"/>
    </row>
    <row r="30" spans="1:15" ht="12.75">
      <c r="A30" t="s">
        <v>12</v>
      </c>
      <c r="E30" s="16">
        <f>1/(1+$D$2)^E$7</f>
        <v>1</v>
      </c>
      <c r="F30" s="17"/>
      <c r="G30" s="16">
        <f>1/(1+$D$2)^G$7</f>
        <v>0.8849557522123894</v>
      </c>
      <c r="I30" s="16">
        <f>1/(1+$D$2)^I$7</f>
        <v>0.7831466833737961</v>
      </c>
      <c r="K30" s="16">
        <f>1/(1+$D$2)^K$7</f>
        <v>0.6930501622776958</v>
      </c>
      <c r="M30" s="16">
        <f>1/(1+$D$2)^M$7</f>
        <v>0.6133187276793768</v>
      </c>
      <c r="O30" s="16">
        <f>1/(1+$D$2)^O$7</f>
        <v>0.5427599359994486</v>
      </c>
    </row>
    <row r="31" spans="1:15" ht="12.75">
      <c r="A31" t="s">
        <v>13</v>
      </c>
      <c r="E31" s="18">
        <f>MAX(0,E19*E15)</f>
        <v>0</v>
      </c>
      <c r="F31" s="18"/>
      <c r="G31" s="18">
        <f>MAX(0,G19*G15)</f>
        <v>0</v>
      </c>
      <c r="H31" s="8"/>
      <c r="I31" s="8">
        <f>MAX(0,I19*I15)</f>
        <v>624.7944239956147</v>
      </c>
      <c r="J31" s="8"/>
      <c r="K31" s="8">
        <f>MAX(0,K19*K15)</f>
        <v>3273.171958913216</v>
      </c>
      <c r="L31" s="8"/>
      <c r="M31" s="8">
        <f>MAX(0,M19*M15)</f>
        <v>2112.0857025094697</v>
      </c>
      <c r="N31" s="8"/>
      <c r="O31" s="8">
        <f>MAX(0,O19*O15)</f>
        <v>21611.205347874366</v>
      </c>
    </row>
    <row r="33" spans="1:5" ht="12.75">
      <c r="A33" t="s">
        <v>14</v>
      </c>
      <c r="E33" s="8">
        <f>SUM(E31:O31)</f>
        <v>27621.257433292667</v>
      </c>
    </row>
    <row r="34" spans="1:5" ht="12.75">
      <c r="A34" t="s">
        <v>15</v>
      </c>
      <c r="E34" s="14">
        <f>E23</f>
        <v>-250</v>
      </c>
    </row>
    <row r="35" spans="2:5" s="19" customFormat="1" ht="12.75">
      <c r="B35" s="19" t="s">
        <v>18</v>
      </c>
      <c r="E35" s="20">
        <f>SUM(E33:E34)</f>
        <v>27371.257433292667</v>
      </c>
    </row>
    <row r="36" spans="1:5" ht="12.75">
      <c r="A36" t="s">
        <v>20</v>
      </c>
      <c r="E36" s="14">
        <f>SUM(E15:G15)</f>
        <v>-2514</v>
      </c>
    </row>
    <row r="37" spans="2:5" s="19" customFormat="1" ht="12.75">
      <c r="B37" s="19" t="s">
        <v>16</v>
      </c>
      <c r="E37" s="20">
        <f>SUM(E35:E36)</f>
        <v>24857.257433292667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4" width="7.2812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6" width="8.7109375" style="0" customWidth="1"/>
  </cols>
  <sheetData>
    <row r="1" spans="1:11" ht="12.75">
      <c r="A1" t="s">
        <v>0</v>
      </c>
      <c r="D1" s="21">
        <f>APV!D1</f>
        <v>0.35</v>
      </c>
      <c r="F1" t="s">
        <v>21</v>
      </c>
      <c r="I1" s="1"/>
      <c r="J1" s="1"/>
      <c r="K1" s="1">
        <v>0.25</v>
      </c>
    </row>
    <row r="2" spans="1:11" ht="12.75">
      <c r="A2" t="s">
        <v>1</v>
      </c>
      <c r="C2" s="1"/>
      <c r="D2" s="21">
        <f>APV!D2</f>
        <v>0.13</v>
      </c>
      <c r="F2" t="s">
        <v>22</v>
      </c>
      <c r="K2" s="22">
        <f>D2/K1</f>
        <v>0.52</v>
      </c>
    </row>
    <row r="3" spans="1:4" ht="12.75">
      <c r="A3" t="s">
        <v>2</v>
      </c>
      <c r="C3" s="1"/>
      <c r="D3" s="21">
        <f>APV!D3</f>
        <v>0.03</v>
      </c>
    </row>
    <row r="4" spans="3:4" ht="12.75">
      <c r="C4" s="1"/>
      <c r="D4" s="1"/>
    </row>
    <row r="5" spans="1:15" ht="12.75">
      <c r="A5" s="2" t="s">
        <v>3</v>
      </c>
      <c r="B5" s="3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4" ht="12.75">
      <c r="C6" s="1"/>
      <c r="D6" s="1"/>
    </row>
    <row r="7" spans="5:15" ht="12.75">
      <c r="E7" s="23">
        <f>APV!E7</f>
        <v>0</v>
      </c>
      <c r="G7" s="23">
        <f>APV!G7</f>
        <v>1</v>
      </c>
      <c r="I7" s="23">
        <f>APV!I7</f>
        <v>2</v>
      </c>
      <c r="K7" s="23">
        <f>APV!K7</f>
        <v>3</v>
      </c>
      <c r="M7" s="23">
        <f>APV!M7</f>
        <v>4</v>
      </c>
      <c r="O7" s="23">
        <f>APV!O7</f>
        <v>5</v>
      </c>
    </row>
    <row r="8" ht="4.5" customHeight="1"/>
    <row r="9" spans="1:15" ht="12.75">
      <c r="A9" t="s">
        <v>4</v>
      </c>
      <c r="E9" s="24">
        <f>APV!E9</f>
        <v>-313</v>
      </c>
      <c r="F9" s="25"/>
      <c r="G9" s="24">
        <f>APV!G9</f>
        <v>-602</v>
      </c>
      <c r="H9" s="25"/>
      <c r="I9" s="24">
        <f>APV!I9</f>
        <v>2412</v>
      </c>
      <c r="J9" s="25"/>
      <c r="K9" s="24">
        <f>APV!K9</f>
        <v>5129</v>
      </c>
      <c r="L9" s="25"/>
      <c r="M9" s="24">
        <f>APV!M9</f>
        <v>5298</v>
      </c>
      <c r="N9" s="25"/>
      <c r="O9" s="24">
        <f>APV!O9</f>
        <v>5421</v>
      </c>
    </row>
    <row r="10" spans="1:15" ht="12.75">
      <c r="A10" t="s">
        <v>5</v>
      </c>
      <c r="E10" s="9">
        <f>IF(E9&lt;0,0,-E9*$D$1)</f>
        <v>0</v>
      </c>
      <c r="F10" s="10"/>
      <c r="G10" s="9">
        <f>IF(G9&lt;0,0,-G9*$D$1)</f>
        <v>0</v>
      </c>
      <c r="H10" s="10"/>
      <c r="I10" s="9">
        <f>IF(I9&lt;0,0,-I9*$D$1)</f>
        <v>-844.1999999999999</v>
      </c>
      <c r="J10" s="10"/>
      <c r="K10" s="9">
        <f>IF(K9&lt;0,0,-K9*$D$1)</f>
        <v>-1795.1499999999999</v>
      </c>
      <c r="L10" s="10"/>
      <c r="M10" s="9">
        <f>IF(M9&lt;0,0,-M9*$D$1)</f>
        <v>-1854.3</v>
      </c>
      <c r="N10" s="10"/>
      <c r="O10" s="9">
        <f>IF(O9&lt;0,0,-O9*$D$1)</f>
        <v>-1897.35</v>
      </c>
    </row>
    <row r="11" spans="1:15" ht="12.75">
      <c r="A11" t="s">
        <v>6</v>
      </c>
      <c r="E11" s="26">
        <f>APV!E11</f>
        <v>0</v>
      </c>
      <c r="F11" s="27"/>
      <c r="G11" s="26">
        <f>APV!G11</f>
        <v>-2055</v>
      </c>
      <c r="H11" s="27"/>
      <c r="I11" s="26">
        <f>APV!I11</f>
        <v>-1980</v>
      </c>
      <c r="J11" s="26"/>
      <c r="K11" s="26">
        <f>APV!K11</f>
        <v>0</v>
      </c>
      <c r="L11" s="26"/>
      <c r="M11" s="26">
        <f>APV!M11</f>
        <v>0</v>
      </c>
      <c r="N11" s="26"/>
      <c r="O11" s="26">
        <f>APV!O11</f>
        <v>0</v>
      </c>
    </row>
    <row r="12" spans="1:15" ht="12.75">
      <c r="A12" t="s">
        <v>7</v>
      </c>
      <c r="E12" s="28">
        <f>APV!E12</f>
        <v>0</v>
      </c>
      <c r="F12" s="27"/>
      <c r="G12" s="28">
        <f>APV!G12</f>
        <v>456</v>
      </c>
      <c r="H12" s="26"/>
      <c r="I12" s="28">
        <f>APV!I12</f>
        <v>1210</v>
      </c>
      <c r="J12" s="26"/>
      <c r="K12" s="28">
        <f>APV!K12</f>
        <v>1389</v>
      </c>
      <c r="L12" s="26"/>
      <c r="M12" s="28">
        <f>APV!M12</f>
        <v>0</v>
      </c>
      <c r="N12" s="26"/>
      <c r="O12" s="28">
        <f>APV!O12</f>
        <v>0</v>
      </c>
    </row>
    <row r="13" spans="2:15" ht="12.75">
      <c r="B13" t="s">
        <v>8</v>
      </c>
      <c r="E13" s="8">
        <f>SUM(E9:E12)</f>
        <v>-313</v>
      </c>
      <c r="F13" s="8"/>
      <c r="G13" s="8">
        <f>SUM(G9:G12)</f>
        <v>-2201</v>
      </c>
      <c r="H13" s="8"/>
      <c r="I13" s="8">
        <f>SUM(I9:I12)</f>
        <v>797.8000000000002</v>
      </c>
      <c r="J13" s="8"/>
      <c r="K13" s="8">
        <f>SUM(K9:K12)</f>
        <v>4722.85</v>
      </c>
      <c r="L13" s="8"/>
      <c r="M13" s="8">
        <f>SUM(M9:M12)</f>
        <v>3443.7</v>
      </c>
      <c r="N13" s="8"/>
      <c r="O13" s="8">
        <f>SUM(O9:O12)</f>
        <v>3523.65</v>
      </c>
    </row>
    <row r="14" spans="1:15" ht="12.75">
      <c r="A14" t="s">
        <v>9</v>
      </c>
      <c r="E14" s="13"/>
      <c r="G14" s="13"/>
      <c r="I14" s="13"/>
      <c r="K14" s="13"/>
      <c r="M14" s="13"/>
      <c r="O14" s="14">
        <f>O13*(1+$D$3)/($D$2-$D$3)</f>
        <v>36293.595</v>
      </c>
    </row>
    <row r="15" spans="2:15" ht="12.75">
      <c r="B15" t="s">
        <v>10</v>
      </c>
      <c r="E15" s="8">
        <f>SUM(E13:E14)</f>
        <v>-313</v>
      </c>
      <c r="F15" s="8"/>
      <c r="G15" s="8">
        <f>SUM(G13:G14)</f>
        <v>-2201</v>
      </c>
      <c r="H15" s="8"/>
      <c r="I15" s="8">
        <f>SUM(I13:I14)</f>
        <v>797.8000000000002</v>
      </c>
      <c r="J15" s="8"/>
      <c r="K15" s="8">
        <f>SUM(K13:K14)</f>
        <v>4722.85</v>
      </c>
      <c r="L15" s="8"/>
      <c r="M15" s="8">
        <f>SUM(M13:M14)</f>
        <v>3443.7</v>
      </c>
      <c r="N15" s="8"/>
      <c r="O15" s="8">
        <f>SUM(O13:O14)</f>
        <v>39817.245</v>
      </c>
    </row>
    <row r="16" spans="5:15" ht="12.75">
      <c r="E16" s="15"/>
      <c r="G16" s="15"/>
      <c r="I16" s="15"/>
      <c r="K16" s="15"/>
      <c r="M16" s="15"/>
      <c r="O16" s="15"/>
    </row>
    <row r="17" spans="1:15" ht="12.75">
      <c r="A17" s="2" t="s">
        <v>11</v>
      </c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4" ht="12.75">
      <c r="C18" s="1"/>
      <c r="D18" s="1"/>
    </row>
    <row r="19" spans="1:15" ht="12.75">
      <c r="A19" t="s">
        <v>12</v>
      </c>
      <c r="E19" s="29">
        <f>1/(1+$D$2)^E7</f>
        <v>1</v>
      </c>
      <c r="G19" s="29">
        <f>1/(1+$D$2)^G7</f>
        <v>0.8849557522123894</v>
      </c>
      <c r="I19" s="15">
        <f>1/(1+$K$2)^I7</f>
        <v>0.4328254847645429</v>
      </c>
      <c r="K19" s="15">
        <f>1/(1+$K$2)^K7</f>
        <v>0.2847536083977256</v>
      </c>
      <c r="M19" s="15">
        <f>1/(1+$K$2)^M7</f>
        <v>0.18733790026166158</v>
      </c>
      <c r="O19" s="15">
        <f>1/(1+$K$2)^O7</f>
        <v>0.12324861859319841</v>
      </c>
    </row>
    <row r="20" spans="1:15" ht="12.75">
      <c r="A20" t="s">
        <v>13</v>
      </c>
      <c r="E20" s="8">
        <f>E19*E15</f>
        <v>-313</v>
      </c>
      <c r="F20" s="8"/>
      <c r="G20" s="8">
        <f>G19*G15</f>
        <v>-1947.7876106194692</v>
      </c>
      <c r="H20" s="8"/>
      <c r="I20" s="8">
        <f>I19*I15</f>
        <v>345.30817174515244</v>
      </c>
      <c r="J20" s="8"/>
      <c r="K20" s="8">
        <f>K19*K15</f>
        <v>1344.8485794211986</v>
      </c>
      <c r="L20" s="8"/>
      <c r="M20" s="8">
        <f>M19*M15</f>
        <v>645.1355271310839</v>
      </c>
      <c r="N20" s="8"/>
      <c r="O20" s="8">
        <f>O19*O15</f>
        <v>4907.420442436936</v>
      </c>
    </row>
    <row r="22" spans="1:5" ht="12.75">
      <c r="A22" t="s">
        <v>14</v>
      </c>
      <c r="E22" s="8">
        <f>SUM(E20:O20)</f>
        <v>4981.925110114902</v>
      </c>
    </row>
    <row r="23" spans="1:5" ht="12.75">
      <c r="A23" t="s">
        <v>15</v>
      </c>
      <c r="E23" s="28">
        <f>APV!E23</f>
        <v>-250</v>
      </c>
    </row>
    <row r="24" spans="2:5" s="19" customFormat="1" ht="12.75">
      <c r="B24" s="19" t="s">
        <v>16</v>
      </c>
      <c r="E24" s="20">
        <f>SUM(E22:E23)</f>
        <v>4731.925110114902</v>
      </c>
    </row>
    <row r="25" spans="1:5" ht="12.75">
      <c r="A25" t="s">
        <v>17</v>
      </c>
      <c r="E25" s="14">
        <f>-SUM(E20:G20)</f>
        <v>2260.787610619469</v>
      </c>
    </row>
    <row r="26" spans="2:5" s="19" customFormat="1" ht="12.75">
      <c r="B26" s="19" t="s">
        <v>18</v>
      </c>
      <c r="E26" s="20">
        <f>SUM(E24:E25)</f>
        <v>6992.712720734371</v>
      </c>
    </row>
    <row r="27" ht="12.75">
      <c r="B27" s="19"/>
    </row>
    <row r="28" spans="1:15" ht="12.75">
      <c r="A28" s="2" t="s">
        <v>19</v>
      </c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4" ht="12.75">
      <c r="C29" s="1"/>
      <c r="D29" s="1"/>
    </row>
    <row r="30" spans="1:15" ht="12.75">
      <c r="A30" t="s">
        <v>12</v>
      </c>
      <c r="E30" s="29">
        <f>1/(1+$K$2)^E7</f>
        <v>1</v>
      </c>
      <c r="G30" s="29">
        <f>1/(1+$K$2)^G7</f>
        <v>0.6578947368421053</v>
      </c>
      <c r="I30" s="15">
        <f>1/(1+$K$2)^I7</f>
        <v>0.4328254847645429</v>
      </c>
      <c r="K30" s="15">
        <f>1/(1+$K$2)^K7</f>
        <v>0.2847536083977256</v>
      </c>
      <c r="M30" s="15">
        <f>1/(1+$K$2)^M7</f>
        <v>0.18733790026166158</v>
      </c>
      <c r="O30" s="15">
        <f>1/(1+$K$2)^O7</f>
        <v>0.12324861859319841</v>
      </c>
    </row>
    <row r="31" spans="1:15" ht="12.75">
      <c r="A31" t="s">
        <v>13</v>
      </c>
      <c r="E31" s="8">
        <f>MAX(0,E19*E15)</f>
        <v>0</v>
      </c>
      <c r="F31" s="18"/>
      <c r="G31" s="8">
        <f>MAX(0,G19*G15)</f>
        <v>0</v>
      </c>
      <c r="H31" s="8"/>
      <c r="I31" s="8">
        <f>MAX(0,I19*I15)</f>
        <v>345.30817174515244</v>
      </c>
      <c r="J31" s="8"/>
      <c r="K31" s="8">
        <f>MAX(0,K19*K15)</f>
        <v>1344.8485794211986</v>
      </c>
      <c r="L31" s="8"/>
      <c r="M31" s="8">
        <f>MAX(0,M19*M15)</f>
        <v>645.1355271310839</v>
      </c>
      <c r="N31" s="8"/>
      <c r="O31" s="8">
        <f>MAX(0,O19*O15)</f>
        <v>4907.420442436936</v>
      </c>
    </row>
    <row r="33" spans="1:5" ht="12.75">
      <c r="A33" t="s">
        <v>14</v>
      </c>
      <c r="E33" s="8">
        <f>SUM(E31:O31)</f>
        <v>7242.712720734371</v>
      </c>
    </row>
    <row r="34" spans="1:5" ht="12.75">
      <c r="A34" t="s">
        <v>15</v>
      </c>
      <c r="E34" s="14">
        <f>E23</f>
        <v>-250</v>
      </c>
    </row>
    <row r="35" spans="2:5" s="19" customFormat="1" ht="12.75">
      <c r="B35" s="19" t="s">
        <v>18</v>
      </c>
      <c r="E35" s="20">
        <f>SUM(E33:E34)</f>
        <v>6992.712720734371</v>
      </c>
    </row>
    <row r="36" spans="1:5" ht="12.75">
      <c r="A36" t="s">
        <v>20</v>
      </c>
      <c r="E36" s="14">
        <f>SUM(E15:G15)</f>
        <v>-2514</v>
      </c>
    </row>
    <row r="37" spans="2:5" s="19" customFormat="1" ht="12.75">
      <c r="B37" s="19" t="s">
        <v>16</v>
      </c>
      <c r="E37" s="20">
        <f>SUM(E35:E36)</f>
        <v>4478.712720734371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4" width="7.2812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6" width="8.7109375" style="0" customWidth="1"/>
  </cols>
  <sheetData>
    <row r="1" spans="1:11" ht="12.75">
      <c r="A1" t="s">
        <v>0</v>
      </c>
      <c r="D1" s="21">
        <f>APV!D1</f>
        <v>0.35</v>
      </c>
      <c r="F1" t="s">
        <v>21</v>
      </c>
      <c r="I1" s="1"/>
      <c r="J1" s="1"/>
      <c r="K1" s="1">
        <v>0.25</v>
      </c>
    </row>
    <row r="2" spans="1:11" ht="12.75">
      <c r="A2" t="s">
        <v>1</v>
      </c>
      <c r="C2" s="1"/>
      <c r="D2" s="21">
        <f>APV!D2</f>
        <v>0.13</v>
      </c>
      <c r="F2" t="s">
        <v>22</v>
      </c>
      <c r="K2" s="22">
        <f>D2/K1</f>
        <v>0.52</v>
      </c>
    </row>
    <row r="3" spans="1:4" ht="12.75">
      <c r="A3" t="s">
        <v>2</v>
      </c>
      <c r="C3" s="1"/>
      <c r="D3" s="21">
        <f>APV!D3</f>
        <v>0.03</v>
      </c>
    </row>
    <row r="4" spans="3:4" ht="12.75">
      <c r="C4" s="1"/>
      <c r="D4" s="1"/>
    </row>
    <row r="5" spans="1:15" ht="12.75">
      <c r="A5" s="2" t="s">
        <v>3</v>
      </c>
      <c r="B5" s="3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4" ht="12.75">
      <c r="C6" s="1"/>
      <c r="D6" s="1"/>
    </row>
    <row r="7" spans="5:15" ht="12.75">
      <c r="E7" s="23">
        <f>APV!E7</f>
        <v>0</v>
      </c>
      <c r="G7" s="23">
        <f>APV!G7</f>
        <v>1</v>
      </c>
      <c r="I7" s="23">
        <f>APV!I7</f>
        <v>2</v>
      </c>
      <c r="K7" s="23">
        <f>APV!K7</f>
        <v>3</v>
      </c>
      <c r="M7" s="23">
        <f>APV!M7</f>
        <v>4</v>
      </c>
      <c r="O7" s="23">
        <f>APV!O7</f>
        <v>5</v>
      </c>
    </row>
    <row r="8" ht="4.5" customHeight="1"/>
    <row r="9" spans="1:15" ht="12.75">
      <c r="A9" t="s">
        <v>4</v>
      </c>
      <c r="E9" s="24">
        <f>APV!E9</f>
        <v>-313</v>
      </c>
      <c r="F9" s="25"/>
      <c r="G9" s="24">
        <f>APV!G9</f>
        <v>-602</v>
      </c>
      <c r="H9" s="25"/>
      <c r="I9" s="24">
        <f>APV!I9</f>
        <v>2412</v>
      </c>
      <c r="J9" s="25"/>
      <c r="K9" s="24">
        <f>APV!K9</f>
        <v>5129</v>
      </c>
      <c r="L9" s="25"/>
      <c r="M9" s="24">
        <f>APV!M9</f>
        <v>5298</v>
      </c>
      <c r="N9" s="25"/>
      <c r="O9" s="24">
        <f>APV!O9</f>
        <v>5421</v>
      </c>
    </row>
    <row r="10" spans="1:15" ht="12.75">
      <c r="A10" t="s">
        <v>5</v>
      </c>
      <c r="E10" s="9">
        <f>IF(E9&lt;0,0,-E9*$D$1)</f>
        <v>0</v>
      </c>
      <c r="F10" s="10"/>
      <c r="G10" s="9">
        <f>IF(G9&lt;0,0,-G9*$D$1)</f>
        <v>0</v>
      </c>
      <c r="H10" s="10"/>
      <c r="I10" s="9">
        <f>IF(I9&lt;0,0,-I9*$D$1)</f>
        <v>-844.1999999999999</v>
      </c>
      <c r="J10" s="10"/>
      <c r="K10" s="9">
        <f>IF(K9&lt;0,0,-K9*$D$1)</f>
        <v>-1795.1499999999999</v>
      </c>
      <c r="L10" s="10"/>
      <c r="M10" s="9">
        <f>IF(M9&lt;0,0,-M9*$D$1)</f>
        <v>-1854.3</v>
      </c>
      <c r="N10" s="10"/>
      <c r="O10" s="9">
        <f>IF(O9&lt;0,0,-O9*$D$1)</f>
        <v>-1897.35</v>
      </c>
    </row>
    <row r="11" spans="1:15" ht="12.75">
      <c r="A11" t="s">
        <v>6</v>
      </c>
      <c r="E11" s="26">
        <f>APV!E11</f>
        <v>0</v>
      </c>
      <c r="F11" s="27"/>
      <c r="G11" s="26">
        <f>APV!G11</f>
        <v>-2055</v>
      </c>
      <c r="H11" s="27"/>
      <c r="I11" s="26">
        <f>APV!I11</f>
        <v>-1980</v>
      </c>
      <c r="J11" s="26"/>
      <c r="K11" s="26">
        <f>APV!K11</f>
        <v>0</v>
      </c>
      <c r="L11" s="26"/>
      <c r="M11" s="26">
        <f>APV!M11</f>
        <v>0</v>
      </c>
      <c r="N11" s="26"/>
      <c r="O11" s="26">
        <f>APV!O11</f>
        <v>0</v>
      </c>
    </row>
    <row r="12" spans="1:15" ht="12.75">
      <c r="A12" t="s">
        <v>7</v>
      </c>
      <c r="E12" s="28">
        <f>APV!E12</f>
        <v>0</v>
      </c>
      <c r="F12" s="27"/>
      <c r="G12" s="28">
        <f>APV!G12</f>
        <v>456</v>
      </c>
      <c r="H12" s="26"/>
      <c r="I12" s="28">
        <f>APV!I12</f>
        <v>1210</v>
      </c>
      <c r="J12" s="26"/>
      <c r="K12" s="28">
        <f>APV!K12</f>
        <v>1389</v>
      </c>
      <c r="L12" s="26"/>
      <c r="M12" s="28">
        <f>APV!M12</f>
        <v>0</v>
      </c>
      <c r="N12" s="26"/>
      <c r="O12" s="28">
        <f>APV!O12</f>
        <v>0</v>
      </c>
    </row>
    <row r="13" spans="2:15" ht="12.75">
      <c r="B13" t="s">
        <v>8</v>
      </c>
      <c r="E13" s="8">
        <f>SUM(E9:E12)</f>
        <v>-313</v>
      </c>
      <c r="F13" s="8"/>
      <c r="G13" s="8">
        <f>SUM(G9:G12)</f>
        <v>-2201</v>
      </c>
      <c r="H13" s="8"/>
      <c r="I13" s="8">
        <f>SUM(I9:I12)</f>
        <v>797.8000000000002</v>
      </c>
      <c r="J13" s="8"/>
      <c r="K13" s="8">
        <f>SUM(K9:K12)</f>
        <v>4722.85</v>
      </c>
      <c r="L13" s="8"/>
      <c r="M13" s="8">
        <f>SUM(M9:M12)</f>
        <v>3443.7</v>
      </c>
      <c r="N13" s="8"/>
      <c r="O13" s="8">
        <f>SUM(O9:O12)</f>
        <v>3523.65</v>
      </c>
    </row>
    <row r="14" spans="1:15" ht="12.75">
      <c r="A14" t="s">
        <v>9</v>
      </c>
      <c r="E14" s="13"/>
      <c r="G14" s="13"/>
      <c r="I14" s="13"/>
      <c r="K14" s="13"/>
      <c r="M14" s="13"/>
      <c r="O14" s="14">
        <f>O13*(1+$D$3)/($D$2-$D$3)</f>
        <v>36293.595</v>
      </c>
    </row>
    <row r="15" spans="2:15" ht="12.75">
      <c r="B15" t="s">
        <v>10</v>
      </c>
      <c r="E15" s="8">
        <f>SUM(E13:E14)</f>
        <v>-313</v>
      </c>
      <c r="F15" s="8"/>
      <c r="G15" s="8">
        <f>SUM(G13:G14)</f>
        <v>-2201</v>
      </c>
      <c r="H15" s="8"/>
      <c r="I15" s="8">
        <f>SUM(I13:I14)</f>
        <v>797.8000000000002</v>
      </c>
      <c r="J15" s="8"/>
      <c r="K15" s="8">
        <f>SUM(K13:K14)</f>
        <v>4722.85</v>
      </c>
      <c r="L15" s="8"/>
      <c r="M15" s="8">
        <f>SUM(M13:M14)</f>
        <v>3443.7</v>
      </c>
      <c r="N15" s="8"/>
      <c r="O15" s="8">
        <f>SUM(O13:O14)</f>
        <v>39817.245</v>
      </c>
    </row>
    <row r="16" spans="5:15" ht="12.75">
      <c r="E16" s="15"/>
      <c r="G16" s="15"/>
      <c r="I16" s="15"/>
      <c r="K16" s="15"/>
      <c r="M16" s="15"/>
      <c r="O16" s="15"/>
    </row>
    <row r="17" spans="1:15" ht="12.75">
      <c r="A17" s="2" t="s">
        <v>23</v>
      </c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4" ht="12.75">
      <c r="C18" s="1"/>
      <c r="D18" s="1"/>
    </row>
    <row r="19" spans="1:15" ht="12.75">
      <c r="A19" t="s">
        <v>39</v>
      </c>
      <c r="E19" s="8"/>
      <c r="F19" s="18"/>
      <c r="G19" s="8"/>
      <c r="H19" s="8"/>
      <c r="I19" s="8"/>
      <c r="J19" s="8"/>
      <c r="K19" s="8"/>
      <c r="L19" s="8"/>
      <c r="M19" s="8"/>
      <c r="N19" s="8"/>
      <c r="O19" s="7">
        <v>37016</v>
      </c>
    </row>
    <row r="20" spans="1:15" ht="12.75">
      <c r="A20" t="s">
        <v>40</v>
      </c>
      <c r="E20" s="8"/>
      <c r="F20" s="18"/>
      <c r="G20" s="8"/>
      <c r="H20" s="8"/>
      <c r="I20" s="8"/>
      <c r="J20" s="8"/>
      <c r="K20" s="8"/>
      <c r="L20" s="8"/>
      <c r="M20" s="8"/>
      <c r="N20" s="8"/>
      <c r="O20" s="33">
        <v>1.5</v>
      </c>
    </row>
    <row r="21" spans="1:15" ht="12.75">
      <c r="A21" t="s">
        <v>24</v>
      </c>
      <c r="E21" s="8"/>
      <c r="F21" s="18"/>
      <c r="G21" s="8"/>
      <c r="H21" s="8"/>
      <c r="I21" s="8"/>
      <c r="J21" s="8"/>
      <c r="K21" s="8"/>
      <c r="L21" s="8"/>
      <c r="M21" s="8"/>
      <c r="N21" s="8"/>
      <c r="O21" s="8">
        <f>O20*O19</f>
        <v>55524</v>
      </c>
    </row>
    <row r="22" spans="1:15" ht="12.75">
      <c r="A22" t="s">
        <v>15</v>
      </c>
      <c r="E22" s="8"/>
      <c r="F22" s="18"/>
      <c r="G22" s="8"/>
      <c r="H22" s="8"/>
      <c r="I22" s="8"/>
      <c r="J22" s="8"/>
      <c r="K22" s="8"/>
      <c r="L22" s="8"/>
      <c r="M22" s="8"/>
      <c r="N22" s="8"/>
      <c r="O22" s="12">
        <v>-195</v>
      </c>
    </row>
    <row r="23" spans="2:15" ht="12.75">
      <c r="B23" t="s">
        <v>25</v>
      </c>
      <c r="E23" s="8"/>
      <c r="F23" s="18"/>
      <c r="G23" s="8"/>
      <c r="H23" s="8"/>
      <c r="I23" s="8"/>
      <c r="J23" s="8"/>
      <c r="K23" s="8"/>
      <c r="L23" s="8"/>
      <c r="M23" s="8"/>
      <c r="N23" s="8"/>
      <c r="O23" s="8">
        <f>SUM(O21:O22)</f>
        <v>55329</v>
      </c>
    </row>
    <row r="24" spans="5:15" ht="12.75">
      <c r="E24" s="8"/>
      <c r="F24" s="1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t="s">
        <v>1</v>
      </c>
      <c r="E25" s="22">
        <f>K2</f>
        <v>0.52</v>
      </c>
      <c r="F25" s="1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9" t="s">
        <v>18</v>
      </c>
      <c r="B26" s="19"/>
      <c r="E26" s="20">
        <f>O23/(1+E25)^O7</f>
        <v>6819.222818143075</v>
      </c>
      <c r="F26" s="1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t="s">
        <v>20</v>
      </c>
      <c r="E27" s="14">
        <f>SUM(E15:G15)</f>
        <v>-2514</v>
      </c>
      <c r="F27" s="1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19"/>
      <c r="B28" s="19" t="s">
        <v>16</v>
      </c>
      <c r="E28" s="20">
        <f>SUM(E26:E27)</f>
        <v>4305.222818143075</v>
      </c>
      <c r="F28" s="18"/>
      <c r="G28" s="8"/>
      <c r="H28" s="8"/>
      <c r="I28" s="8"/>
      <c r="J28" s="8"/>
      <c r="K28" s="8"/>
      <c r="L28" s="8"/>
      <c r="M28" s="8"/>
      <c r="N28" s="8"/>
      <c r="O28" s="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3" width="10.7109375" style="0" customWidth="1"/>
  </cols>
  <sheetData>
    <row r="1" spans="4:12" ht="12.75">
      <c r="D1" s="30" t="s">
        <v>26</v>
      </c>
      <c r="F1" s="30" t="s">
        <v>27</v>
      </c>
      <c r="H1" s="30" t="s">
        <v>28</v>
      </c>
      <c r="J1" s="30" t="s">
        <v>29</v>
      </c>
      <c r="L1" s="30" t="s">
        <v>30</v>
      </c>
    </row>
    <row r="2" spans="4:12" ht="12.75">
      <c r="D2" s="6" t="s">
        <v>31</v>
      </c>
      <c r="E2" s="30" t="s">
        <v>32</v>
      </c>
      <c r="F2" s="6" t="s">
        <v>33</v>
      </c>
      <c r="G2" s="30" t="s">
        <v>34</v>
      </c>
      <c r="H2" s="6" t="s">
        <v>31</v>
      </c>
      <c r="J2" s="6" t="s">
        <v>35</v>
      </c>
      <c r="L2" s="6" t="s">
        <v>35</v>
      </c>
    </row>
    <row r="3" spans="1:10" ht="12.75">
      <c r="A3" s="31" t="str">
        <f>"APV ("&amp;TEXT(APV!D2,"0.0%")&amp;")"</f>
        <v>APV (13.0%)</v>
      </c>
      <c r="D3" s="32"/>
      <c r="E3" s="30"/>
      <c r="F3" s="32"/>
      <c r="G3" s="30"/>
      <c r="H3" s="32"/>
      <c r="J3" s="32"/>
    </row>
    <row r="4" spans="2:12" ht="12.75">
      <c r="B4" t="s">
        <v>36</v>
      </c>
      <c r="D4" s="25">
        <f>APV!E26</f>
        <v>27371.257433292667</v>
      </c>
      <c r="F4" s="25">
        <f>APV!E25</f>
        <v>2260.787610619469</v>
      </c>
      <c r="H4" s="8">
        <f>D4-F4</f>
        <v>25110.4698226732</v>
      </c>
      <c r="J4" s="22">
        <f>H4/D4</f>
        <v>0.9174028589614743</v>
      </c>
      <c r="L4" s="22">
        <f>F4/D4</f>
        <v>0.08259714103852568</v>
      </c>
    </row>
    <row r="5" spans="2:12" ht="12.75">
      <c r="B5" t="s">
        <v>37</v>
      </c>
      <c r="D5" s="25">
        <f>APV!E35</f>
        <v>27371.257433292667</v>
      </c>
      <c r="F5" s="25">
        <f>-APV!E36</f>
        <v>2514</v>
      </c>
      <c r="H5" s="8">
        <f>D5-F5</f>
        <v>24857.257433292667</v>
      </c>
      <c r="J5" s="22">
        <f>H5/D5</f>
        <v>0.9081518265601445</v>
      </c>
      <c r="L5" s="22">
        <f>F5/D5</f>
        <v>0.09184817343985553</v>
      </c>
    </row>
    <row r="6" spans="4:12" ht="4.5" customHeight="1">
      <c r="D6" s="25"/>
      <c r="F6" s="25"/>
      <c r="H6" s="8"/>
      <c r="J6" s="22"/>
      <c r="L6" s="22"/>
    </row>
    <row r="7" spans="1:12" ht="12.75">
      <c r="A7" s="31" t="str">
        <f>"Prob-Adj APV ("&amp;TEXT('Prob-Adj APV'!K2,"0.0%")&amp;")"</f>
        <v>Prob-Adj APV (52.0%)</v>
      </c>
      <c r="D7" s="25"/>
      <c r="F7" s="25"/>
      <c r="H7" s="8"/>
      <c r="J7" s="22"/>
      <c r="L7" s="22"/>
    </row>
    <row r="8" spans="2:12" ht="12.75">
      <c r="B8" t="str">
        <f>B4</f>
        <v>Entrepreneur Perspective</v>
      </c>
      <c r="D8" s="25">
        <f>'Prob-Adj APV'!E26</f>
        <v>6992.712720734371</v>
      </c>
      <c r="F8" s="25">
        <f>'Prob-Adj APV'!E25</f>
        <v>2260.787610619469</v>
      </c>
      <c r="H8" s="8">
        <f>D8-F8</f>
        <v>4731.925110114902</v>
      </c>
      <c r="J8" s="22">
        <f>H8/D8</f>
        <v>0.6766937666528302</v>
      </c>
      <c r="L8" s="22">
        <f>F8/D8</f>
        <v>0.3233062333471698</v>
      </c>
    </row>
    <row r="9" spans="2:12" ht="12.75">
      <c r="B9" t="str">
        <f>B5</f>
        <v>VC Perspective</v>
      </c>
      <c r="D9" s="25">
        <f>'Prob-Adj APV'!E35</f>
        <v>6992.712720734371</v>
      </c>
      <c r="F9" s="25">
        <f>-'Prob-Adj APV'!E36</f>
        <v>2514</v>
      </c>
      <c r="H9" s="8">
        <f>D9-F9</f>
        <v>4478.712720734371</v>
      </c>
      <c r="J9" s="22">
        <f>H9/D9</f>
        <v>0.6404828711830762</v>
      </c>
      <c r="L9" s="22">
        <f>F9/D9</f>
        <v>0.3595171288169237</v>
      </c>
    </row>
    <row r="10" spans="4:12" ht="4.5" customHeight="1">
      <c r="D10" s="25"/>
      <c r="F10" s="25"/>
      <c r="H10" s="8"/>
      <c r="J10" s="22"/>
      <c r="L10" s="22"/>
    </row>
    <row r="11" spans="1:12" ht="12.75">
      <c r="A11" s="31" t="s">
        <v>38</v>
      </c>
      <c r="D11" s="25">
        <f>Comps!E26</f>
        <v>6819.222818143075</v>
      </c>
      <c r="F11" s="25">
        <f>-Comps!E27</f>
        <v>2514</v>
      </c>
      <c r="H11" s="8">
        <f>D11-F11</f>
        <v>4305.222818143075</v>
      </c>
      <c r="J11" s="22">
        <f>H11/D11</f>
        <v>0.6313362875735183</v>
      </c>
      <c r="L11" s="22">
        <f>F11/D11</f>
        <v>0.3686637124264816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Macabacus, LLC</cp:lastModifiedBy>
  <dcterms:created xsi:type="dcterms:W3CDTF">2009-06-01T18:29:00Z</dcterms:created>
  <dcterms:modified xsi:type="dcterms:W3CDTF">2013-05-24T02:04:44Z</dcterms:modified>
  <cp:category/>
  <cp:version/>
  <cp:contentType/>
  <cp:contentStatus/>
</cp:coreProperties>
</file>