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lsoTrinidad\Downloads\"/>
    </mc:Choice>
  </mc:AlternateContent>
  <xr:revisionPtr revIDLastSave="0" documentId="13_ncr:40009_{E598544A-C764-4FBF-BA41-51C195222A46}" xr6:coauthVersionLast="47" xr6:coauthVersionMax="47" xr10:uidLastSave="{00000000-0000-0000-0000-000000000000}"/>
  <bookViews>
    <workbookView xWindow="-90" yWindow="-90" windowWidth="19380" windowHeight="11730"/>
  </bookViews>
  <sheets>
    <sheet name="LBO" sheetId="1" r:id="rId1"/>
    <sheet name="Target P&amp;L" sheetId="2" r:id="rId2"/>
  </sheets>
  <definedNames>
    <definedName name="curr_date">LBO!$Y$40</definedName>
    <definedName name="err_msg">LBO!#REF!</definedName>
    <definedName name="fin_case">LBO!$Q$45</definedName>
    <definedName name="fye">LBO!$Y$38</definedName>
    <definedName name="libor">LBO!$Q$30</definedName>
    <definedName name="ltm_date">LBO!$Y$39</definedName>
    <definedName name="ltm_ebitda">LBO!$M$63</definedName>
    <definedName name="min_cash">LBO!$Q$40</definedName>
    <definedName name="op_case">LBO!$Y$30</definedName>
    <definedName name="refi">LBO!$Q$36</definedName>
    <definedName name="revolver">LBO!$Q$41</definedName>
    <definedName name="stub">LBO!$Y$44</definedName>
    <definedName name="tgt">LBO!$AI$9</definedName>
    <definedName name="trans_price">LBO!$Y$11</definedName>
    <definedName name="treas">LBO!$Q$31</definedName>
  </definedNames>
  <calcPr calcId="191029" calcMode="autoNoTable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3" i="1" l="1"/>
  <c r="Q149" i="1"/>
  <c r="Q61" i="1" s="1"/>
  <c r="O51" i="1"/>
  <c r="S155" i="1"/>
  <c r="I183" i="1"/>
  <c r="K183" i="1" s="1"/>
  <c r="M183" i="1" s="1"/>
  <c r="K56" i="1"/>
  <c r="M56" i="1" s="1"/>
  <c r="K58" i="1"/>
  <c r="M58" i="1" s="1"/>
  <c r="M60" i="1"/>
  <c r="Y11" i="1"/>
  <c r="AQ10" i="1" s="1"/>
  <c r="AQ8" i="1"/>
  <c r="AQ9" i="1"/>
  <c r="AQ11" i="1"/>
  <c r="AQ12" i="1"/>
  <c r="AQ13" i="1"/>
  <c r="AQ14" i="1"/>
  <c r="AQ15" i="1"/>
  <c r="AQ16" i="1"/>
  <c r="AQ17" i="1"/>
  <c r="AQ29" i="1"/>
  <c r="Q203" i="1"/>
  <c r="S203" i="1" s="1"/>
  <c r="Q188" i="1" s="1"/>
  <c r="I182" i="1"/>
  <c r="K182" i="1" s="1"/>
  <c r="S180" i="1"/>
  <c r="G36" i="1" s="1"/>
  <c r="M160" i="1"/>
  <c r="O160" i="1" s="1"/>
  <c r="Q160" i="1" s="1"/>
  <c r="S163" i="1"/>
  <c r="G16" i="1" s="1"/>
  <c r="S165" i="1"/>
  <c r="S166" i="1"/>
  <c r="S167" i="1"/>
  <c r="G20" i="1" s="1"/>
  <c r="S169" i="1"/>
  <c r="S170" i="1"/>
  <c r="S171" i="1"/>
  <c r="G25" i="1" s="1"/>
  <c r="S173" i="1"/>
  <c r="S174" i="1"/>
  <c r="G29" i="1" s="1"/>
  <c r="C30" i="1"/>
  <c r="C28" i="1"/>
  <c r="C29" i="1"/>
  <c r="C27" i="1"/>
  <c r="C25" i="1"/>
  <c r="C24" i="1"/>
  <c r="C17" i="1"/>
  <c r="C18" i="1"/>
  <c r="C19" i="1"/>
  <c r="C20" i="1"/>
  <c r="C21" i="1"/>
  <c r="C22" i="1"/>
  <c r="C16" i="1"/>
  <c r="S157" i="1"/>
  <c r="S184" i="1"/>
  <c r="M185" i="1"/>
  <c r="I186" i="1"/>
  <c r="K186" i="1" s="1"/>
  <c r="M186" i="1" s="1"/>
  <c r="I189" i="1"/>
  <c r="K189" i="1" s="1"/>
  <c r="M189" i="1" s="1"/>
  <c r="O189" i="1" s="1"/>
  <c r="Q189" i="1" s="1"/>
  <c r="M162" i="1"/>
  <c r="S162" i="1" s="1"/>
  <c r="S192" i="1"/>
  <c r="O183" i="1"/>
  <c r="Q183" i="1" s="1"/>
  <c r="Q185" i="1"/>
  <c r="Q162" i="1" s="1"/>
  <c r="O185" i="1"/>
  <c r="O162" i="1" s="1"/>
  <c r="G190" i="1"/>
  <c r="G176" i="1"/>
  <c r="K187" i="1"/>
  <c r="I187" i="1"/>
  <c r="O108" i="1"/>
  <c r="K185" i="1"/>
  <c r="K162" i="1" s="1"/>
  <c r="I162" i="1"/>
  <c r="I155" i="1"/>
  <c r="K155" i="1" s="1"/>
  <c r="M155" i="1" s="1"/>
  <c r="O155" i="1" s="1"/>
  <c r="Q155" i="1" s="1"/>
  <c r="A152" i="1"/>
  <c r="A197" i="1"/>
  <c r="AQ34" i="1"/>
  <c r="AQ36" i="1"/>
  <c r="S149" i="1"/>
  <c r="S61" i="1"/>
  <c r="AQ23" i="1"/>
  <c r="AO23" i="1"/>
  <c r="S121" i="1"/>
  <c r="Q120" i="1"/>
  <c r="Q69" i="1"/>
  <c r="G69" i="1" s="1"/>
  <c r="O107" i="1"/>
  <c r="O109" i="1"/>
  <c r="O110" i="1"/>
  <c r="O111" i="1"/>
  <c r="O92" i="1"/>
  <c r="O93" i="1"/>
  <c r="O94" i="1"/>
  <c r="O95" i="1"/>
  <c r="O96" i="1"/>
  <c r="O99" i="1"/>
  <c r="O100" i="1"/>
  <c r="O101" i="1"/>
  <c r="O103" i="1"/>
  <c r="I80" i="1"/>
  <c r="I79" i="1" s="1"/>
  <c r="O79" i="1" s="1"/>
  <c r="O83" i="1"/>
  <c r="O84" i="1"/>
  <c r="O85" i="1"/>
  <c r="O86" i="1"/>
  <c r="O87" i="1"/>
  <c r="O88" i="1"/>
  <c r="O72" i="1"/>
  <c r="O73" i="1"/>
  <c r="O74" i="1"/>
  <c r="O75" i="1"/>
  <c r="O76" i="1"/>
  <c r="I112" i="1"/>
  <c r="I97" i="1"/>
  <c r="I104" i="1" s="1"/>
  <c r="I77" i="1"/>
  <c r="I89" i="1" s="1"/>
  <c r="G112" i="1"/>
  <c r="G94" i="1"/>
  <c r="G96" i="1"/>
  <c r="G101" i="1"/>
  <c r="G86" i="1"/>
  <c r="G88" i="1"/>
  <c r="G73" i="1"/>
  <c r="G77" i="1" s="1"/>
  <c r="G76" i="1"/>
  <c r="G80" i="1"/>
  <c r="G79" i="1" s="1"/>
  <c r="O70" i="1"/>
  <c r="I70" i="1"/>
  <c r="I69" i="1"/>
  <c r="A67" i="1"/>
  <c r="M51" i="1"/>
  <c r="AM51" i="1"/>
  <c r="AK51" i="1" s="1"/>
  <c r="AM49" i="1"/>
  <c r="AK50" i="1"/>
  <c r="AM50" i="1" s="1"/>
  <c r="Y42" i="1"/>
  <c r="AK48" i="1" s="1"/>
  <c r="AM48" i="1" s="1"/>
  <c r="AM63" i="1"/>
  <c r="AM64" i="1" s="1"/>
  <c r="AK63" i="1"/>
  <c r="AK64" i="1" s="1"/>
  <c r="AM57" i="1"/>
  <c r="AM59" i="1"/>
  <c r="AM61" i="1"/>
  <c r="AK61" i="1"/>
  <c r="AK59" i="1"/>
  <c r="AK57" i="1"/>
  <c r="AM54" i="1"/>
  <c r="K61" i="1"/>
  <c r="AI149" i="1"/>
  <c r="AI61" i="1" s="1"/>
  <c r="W125" i="1"/>
  <c r="W128" i="1" s="1"/>
  <c r="W54" i="1" s="1"/>
  <c r="AG149" i="1"/>
  <c r="AG61" i="1" s="1"/>
  <c r="AE149" i="1"/>
  <c r="AE61" i="1" s="1"/>
  <c r="AC149" i="1"/>
  <c r="AC61" i="1" s="1"/>
  <c r="AA149" i="1"/>
  <c r="AA61" i="1" s="1"/>
  <c r="Y149" i="1"/>
  <c r="Y61" i="1" s="1"/>
  <c r="W149" i="1"/>
  <c r="W61" i="1" s="1"/>
  <c r="U149" i="1"/>
  <c r="U61" i="1" s="1"/>
  <c r="Q50" i="1"/>
  <c r="K50" i="1" s="1"/>
  <c r="S50" i="1"/>
  <c r="A48" i="1"/>
  <c r="Y34" i="1"/>
  <c r="B128" i="1"/>
  <c r="S30" i="1" s="1"/>
  <c r="B132" i="1"/>
  <c r="B139" i="1" s="1"/>
  <c r="B142" i="1" s="1"/>
  <c r="B133" i="1"/>
  <c r="B140" i="1" s="1"/>
  <c r="B147" i="1" s="1"/>
  <c r="B131" i="1"/>
  <c r="B138" i="1"/>
  <c r="B145" i="1" s="1"/>
  <c r="A119" i="1"/>
  <c r="G4" i="2"/>
  <c r="M4" i="2"/>
  <c r="O66" i="2"/>
  <c r="Q66" i="2"/>
  <c r="S66" i="2" s="1"/>
  <c r="U66" i="2" s="1"/>
  <c r="U65" i="2" s="1"/>
  <c r="M66" i="2"/>
  <c r="K66" i="2"/>
  <c r="I66" i="2"/>
  <c r="G66" i="2"/>
  <c r="S7" i="2"/>
  <c r="U7" i="2" s="1"/>
  <c r="U8" i="2"/>
  <c r="Y125" i="1" s="1"/>
  <c r="AA125" i="1" s="1"/>
  <c r="AC125" i="1" s="1"/>
  <c r="AE125" i="1" s="1"/>
  <c r="AG125" i="1" s="1"/>
  <c r="AI125" i="1" s="1"/>
  <c r="AI128" i="1" s="1"/>
  <c r="AI54" i="1" s="1"/>
  <c r="Q11" i="2"/>
  <c r="U132" i="1" s="1"/>
  <c r="U135" i="1" s="1"/>
  <c r="Q16" i="2"/>
  <c r="U139" i="1" s="1"/>
  <c r="U142" i="1" s="1"/>
  <c r="S24" i="2"/>
  <c r="U24" i="2"/>
  <c r="Q23" i="2"/>
  <c r="S23" i="2"/>
  <c r="S22" i="2" s="1"/>
  <c r="S26" i="2" s="1"/>
  <c r="S27" i="2" s="1"/>
  <c r="Q30" i="2"/>
  <c r="S30" i="2" s="1"/>
  <c r="U30" i="2"/>
  <c r="S39" i="2"/>
  <c r="U39" i="2" s="1"/>
  <c r="S40" i="2"/>
  <c r="U40" i="2" s="1"/>
  <c r="S41" i="2"/>
  <c r="U41" i="2" s="1"/>
  <c r="S42" i="2"/>
  <c r="U42" i="2"/>
  <c r="I46" i="2"/>
  <c r="K46" i="2"/>
  <c r="S58" i="2"/>
  <c r="U58" i="2" s="1"/>
  <c r="S53" i="2"/>
  <c r="U53" i="2"/>
  <c r="M12" i="2"/>
  <c r="M19" i="2" s="1"/>
  <c r="M26" i="2"/>
  <c r="M27" i="2" s="1"/>
  <c r="M5" i="2"/>
  <c r="Q122" i="1" s="1"/>
  <c r="O5" i="2"/>
  <c r="Q5" i="2" s="1"/>
  <c r="S5" i="2" s="1"/>
  <c r="U5" i="2" s="1"/>
  <c r="X5" i="2" s="1"/>
  <c r="S29" i="2"/>
  <c r="Q12" i="2"/>
  <c r="Q19" i="2" s="1"/>
  <c r="Q32" i="2" s="1"/>
  <c r="Q26" i="2"/>
  <c r="O12" i="2"/>
  <c r="O19" i="2"/>
  <c r="O26" i="2"/>
  <c r="O27" i="2" s="1"/>
  <c r="K12" i="2"/>
  <c r="K19" i="2" s="1"/>
  <c r="K32" i="2" s="1"/>
  <c r="K26" i="2"/>
  <c r="K27" i="2" s="1"/>
  <c r="I12" i="2"/>
  <c r="I13" i="2" s="1"/>
  <c r="I26" i="2"/>
  <c r="I57" i="2"/>
  <c r="G12" i="2"/>
  <c r="G19" i="2" s="1"/>
  <c r="G32" i="2" s="1"/>
  <c r="G26" i="2"/>
  <c r="G56" i="2"/>
  <c r="G57" i="2"/>
  <c r="O30" i="2"/>
  <c r="M30" i="2"/>
  <c r="K30" i="2"/>
  <c r="I30" i="2"/>
  <c r="G30" i="2"/>
  <c r="Q27" i="2"/>
  <c r="I27" i="2"/>
  <c r="G27" i="2"/>
  <c r="S25" i="2"/>
  <c r="Q25" i="2"/>
  <c r="O25" i="2"/>
  <c r="M25" i="2"/>
  <c r="K25" i="2"/>
  <c r="I25" i="2"/>
  <c r="G25" i="2"/>
  <c r="O23" i="2"/>
  <c r="M23" i="2"/>
  <c r="K23" i="2"/>
  <c r="I23" i="2"/>
  <c r="G23" i="2"/>
  <c r="Q20" i="2"/>
  <c r="M20" i="2"/>
  <c r="K20" i="2"/>
  <c r="G20" i="2"/>
  <c r="O16" i="2"/>
  <c r="S139" i="1" s="1"/>
  <c r="S142" i="1" s="1"/>
  <c r="M16" i="2"/>
  <c r="Q139" i="1" s="1"/>
  <c r="Q142" i="1" s="1"/>
  <c r="Q59" i="1" s="1"/>
  <c r="K16" i="2"/>
  <c r="I16" i="2"/>
  <c r="G16" i="2"/>
  <c r="O13" i="2"/>
  <c r="M13" i="2"/>
  <c r="G13" i="2"/>
  <c r="O11" i="2"/>
  <c r="S132" i="1" s="1"/>
  <c r="S135" i="1" s="1"/>
  <c r="M11" i="2"/>
  <c r="Q132" i="1" s="1"/>
  <c r="Q135" i="1" s="1"/>
  <c r="Q57" i="1" s="1"/>
  <c r="K11" i="2"/>
  <c r="I11" i="2"/>
  <c r="G11" i="2"/>
  <c r="Q8" i="2"/>
  <c r="U125" i="1" s="1"/>
  <c r="U128" i="1" s="1"/>
  <c r="U54" i="1" s="1"/>
  <c r="O8" i="2"/>
  <c r="S125" i="1" s="1"/>
  <c r="S128" i="1" s="1"/>
  <c r="S54" i="1" s="1"/>
  <c r="M8" i="2"/>
  <c r="Q125" i="1" s="1"/>
  <c r="Q128" i="1" s="1"/>
  <c r="Q54" i="1" s="1"/>
  <c r="K8" i="2"/>
  <c r="I8" i="2"/>
  <c r="K54" i="1" s="1"/>
  <c r="I5" i="2"/>
  <c r="G5" i="2"/>
  <c r="A1" i="2"/>
  <c r="AC13" i="1"/>
  <c r="AI12" i="1"/>
  <c r="AG12" i="1"/>
  <c r="Y43" i="1"/>
  <c r="O49" i="1" s="1"/>
  <c r="A4" i="1"/>
  <c r="Y44" i="1" l="1"/>
  <c r="I114" i="1"/>
  <c r="I116" i="1" s="1"/>
  <c r="O97" i="1"/>
  <c r="O104" i="1" s="1"/>
  <c r="AQ28" i="1"/>
  <c r="AQ30" i="1" s="1"/>
  <c r="Y13" i="1" s="1"/>
  <c r="Y14" i="1" s="1"/>
  <c r="K57" i="1"/>
  <c r="G97" i="1"/>
  <c r="G104" i="1" s="1"/>
  <c r="I161" i="1"/>
  <c r="K63" i="1"/>
  <c r="K64" i="1" s="1"/>
  <c r="O80" i="1"/>
  <c r="O81" i="1" s="1"/>
  <c r="AQ37" i="1"/>
  <c r="Y15" i="1" s="1"/>
  <c r="Y16" i="1" s="1"/>
  <c r="O112" i="1"/>
  <c r="O114" i="1" s="1"/>
  <c r="O77" i="1"/>
  <c r="K59" i="1"/>
  <c r="G89" i="1"/>
  <c r="G194" i="1"/>
  <c r="G35" i="2"/>
  <c r="G33" i="2"/>
  <c r="Q33" i="2"/>
  <c r="Q35" i="2"/>
  <c r="X7" i="2"/>
  <c r="K35" i="2"/>
  <c r="K33" i="2"/>
  <c r="I19" i="2"/>
  <c r="U23" i="2"/>
  <c r="U22" i="2" s="1"/>
  <c r="U26" i="2" s="1"/>
  <c r="U27" i="2" s="1"/>
  <c r="S16" i="2"/>
  <c r="AC128" i="1"/>
  <c r="AC54" i="1" s="1"/>
  <c r="G14" i="1"/>
  <c r="M179" i="1"/>
  <c r="S179" i="1" s="1"/>
  <c r="G24" i="1"/>
  <c r="M182" i="1"/>
  <c r="K161" i="1"/>
  <c r="O32" i="2"/>
  <c r="K13" i="2"/>
  <c r="O20" i="2"/>
  <c r="U25" i="2"/>
  <c r="I56" i="2"/>
  <c r="S11" i="2"/>
  <c r="B146" i="1"/>
  <c r="B149" i="1" s="1"/>
  <c r="AG128" i="1"/>
  <c r="AG54" i="1" s="1"/>
  <c r="AA128" i="1"/>
  <c r="AA54" i="1" s="1"/>
  <c r="G22" i="1"/>
  <c r="M46" i="2"/>
  <c r="K57" i="2"/>
  <c r="B135" i="1"/>
  <c r="Q68" i="1"/>
  <c r="Q49" i="1"/>
  <c r="S189" i="1"/>
  <c r="Q70" i="1"/>
  <c r="G70" i="1" s="1"/>
  <c r="Q51" i="1"/>
  <c r="M32" i="2"/>
  <c r="Q65" i="2"/>
  <c r="Y128" i="1"/>
  <c r="Y54" i="1" s="1"/>
  <c r="G114" i="1"/>
  <c r="G116" i="1" s="1"/>
  <c r="G19" i="1"/>
  <c r="O188" i="1"/>
  <c r="M188" i="1"/>
  <c r="S188" i="1" s="1"/>
  <c r="S186" i="1"/>
  <c r="O186" i="1"/>
  <c r="Q186" i="1" s="1"/>
  <c r="K56" i="2"/>
  <c r="U29" i="2"/>
  <c r="Q13" i="2"/>
  <c r="S65" i="2"/>
  <c r="AE128" i="1"/>
  <c r="AE54" i="1" s="1"/>
  <c r="U121" i="1"/>
  <c r="S69" i="1"/>
  <c r="S122" i="1"/>
  <c r="G18" i="1"/>
  <c r="G28" i="1"/>
  <c r="Q53" i="1"/>
  <c r="S181" i="1"/>
  <c r="S185" i="1"/>
  <c r="M53" i="1"/>
  <c r="M59" i="1" s="1"/>
  <c r="S183" i="1"/>
  <c r="S175" i="1"/>
  <c r="S168" i="1"/>
  <c r="S164" i="1"/>
  <c r="S160" i="1"/>
  <c r="O89" i="1" l="1"/>
  <c r="O116" i="1" s="1"/>
  <c r="S25" i="1"/>
  <c r="K51" i="1"/>
  <c r="S21" i="1"/>
  <c r="M161" i="1"/>
  <c r="O182" i="1"/>
  <c r="G40" i="1"/>
  <c r="G35" i="1"/>
  <c r="G12" i="1"/>
  <c r="K43" i="2"/>
  <c r="K36" i="2"/>
  <c r="G44" i="1"/>
  <c r="M57" i="2"/>
  <c r="M56" i="2"/>
  <c r="O46" i="2"/>
  <c r="Q43" i="2"/>
  <c r="Q36" i="2"/>
  <c r="G38" i="1"/>
  <c r="S53" i="1"/>
  <c r="O53" i="1"/>
  <c r="W21" i="1"/>
  <c r="Y21" i="1" s="1"/>
  <c r="S182" i="1"/>
  <c r="S51" i="1"/>
  <c r="U122" i="1"/>
  <c r="S70" i="1"/>
  <c r="U11" i="2"/>
  <c r="W132" i="1"/>
  <c r="W135" i="1" s="1"/>
  <c r="S10" i="2"/>
  <c r="S12" i="2" s="1"/>
  <c r="G17" i="1"/>
  <c r="U164" i="1"/>
  <c r="Q58" i="1"/>
  <c r="O58" i="1" s="1"/>
  <c r="U16" i="2"/>
  <c r="S15" i="2"/>
  <c r="W139" i="1"/>
  <c r="W142" i="1" s="1"/>
  <c r="Q56" i="1"/>
  <c r="O56" i="1" s="1"/>
  <c r="G21" i="1"/>
  <c r="U69" i="1"/>
  <c r="U50" i="1"/>
  <c r="W121" i="1"/>
  <c r="G43" i="2"/>
  <c r="G36" i="2"/>
  <c r="W20" i="1"/>
  <c r="Y20" i="1" s="1"/>
  <c r="M63" i="1"/>
  <c r="U188" i="1" s="1"/>
  <c r="M61" i="1"/>
  <c r="M57" i="1"/>
  <c r="G41" i="1"/>
  <c r="Q60" i="1"/>
  <c r="O60" i="1" s="1"/>
  <c r="O61" i="1" s="1"/>
  <c r="G30" i="1"/>
  <c r="G42" i="1"/>
  <c r="U186" i="1"/>
  <c r="M33" i="2"/>
  <c r="M35" i="2"/>
  <c r="O33" i="2"/>
  <c r="O35" i="2"/>
  <c r="O179" i="1"/>
  <c r="M187" i="1"/>
  <c r="S187" i="1" s="1"/>
  <c r="I32" i="2"/>
  <c r="I20" i="2"/>
  <c r="O57" i="1" l="1"/>
  <c r="U175" i="1"/>
  <c r="U168" i="1"/>
  <c r="U185" i="1"/>
  <c r="K24" i="1"/>
  <c r="S190" i="1"/>
  <c r="W184" i="1" s="1"/>
  <c r="K28" i="1"/>
  <c r="O59" i="1"/>
  <c r="G48" i="2"/>
  <c r="G45" i="2"/>
  <c r="Q63" i="1"/>
  <c r="U160" i="1"/>
  <c r="O161" i="1"/>
  <c r="Q182" i="1"/>
  <c r="Q161" i="1" s="1"/>
  <c r="W22" i="1"/>
  <c r="Y22" i="1" s="1"/>
  <c r="U53" i="1"/>
  <c r="S60" i="1"/>
  <c r="S57" i="1"/>
  <c r="S56" i="1" s="1"/>
  <c r="S59" i="1"/>
  <c r="S58" i="1" s="1"/>
  <c r="Q46" i="2"/>
  <c r="O45" i="2"/>
  <c r="O57" i="2"/>
  <c r="O56" i="2"/>
  <c r="K19" i="1"/>
  <c r="K35" i="1"/>
  <c r="S161" i="1"/>
  <c r="Y121" i="1"/>
  <c r="W50" i="1"/>
  <c r="W69" i="1"/>
  <c r="K17" i="1"/>
  <c r="U70" i="1"/>
  <c r="U51" i="1"/>
  <c r="W122" i="1"/>
  <c r="U179" i="1"/>
  <c r="K18" i="1"/>
  <c r="K41" i="1"/>
  <c r="K38" i="1"/>
  <c r="G43" i="1"/>
  <c r="U187" i="1"/>
  <c r="K42" i="1"/>
  <c r="Y139" i="1"/>
  <c r="U15" i="2"/>
  <c r="S26" i="1"/>
  <c r="S22" i="1"/>
  <c r="U181" i="1"/>
  <c r="K48" i="2"/>
  <c r="K45" i="2"/>
  <c r="S13" i="2"/>
  <c r="S19" i="2"/>
  <c r="U182" i="1"/>
  <c r="G39" i="1"/>
  <c r="K44" i="1"/>
  <c r="K40" i="1"/>
  <c r="Q179" i="1"/>
  <c r="O187" i="1"/>
  <c r="O190" i="1" s="1"/>
  <c r="M190" i="1"/>
  <c r="M36" i="2"/>
  <c r="M43" i="2"/>
  <c r="I35" i="2"/>
  <c r="I33" i="2"/>
  <c r="O43" i="2"/>
  <c r="O36" i="2"/>
  <c r="K30" i="1"/>
  <c r="U167" i="1"/>
  <c r="M64" i="1"/>
  <c r="U180" i="1"/>
  <c r="W24" i="1"/>
  <c r="Y24" i="1" s="1"/>
  <c r="K20" i="1"/>
  <c r="U166" i="1"/>
  <c r="U174" i="1"/>
  <c r="U165" i="1"/>
  <c r="U173" i="1"/>
  <c r="U169" i="1"/>
  <c r="K16" i="1"/>
  <c r="U184" i="1"/>
  <c r="K25" i="1"/>
  <c r="K36" i="1"/>
  <c r="U171" i="1"/>
  <c r="U170" i="1"/>
  <c r="K29" i="1"/>
  <c r="U163" i="1"/>
  <c r="U162" i="1"/>
  <c r="K21" i="1"/>
  <c r="K22" i="1"/>
  <c r="Y132" i="1"/>
  <c r="U10" i="2"/>
  <c r="U12" i="2" s="1"/>
  <c r="O63" i="1"/>
  <c r="O64" i="1" s="1"/>
  <c r="K14" i="1"/>
  <c r="U189" i="1"/>
  <c r="K12" i="1"/>
  <c r="U183" i="1"/>
  <c r="W185" i="1" l="1"/>
  <c r="W187" i="1"/>
  <c r="W181" i="1"/>
  <c r="W182" i="1"/>
  <c r="W189" i="1"/>
  <c r="W183" i="1"/>
  <c r="W186" i="1"/>
  <c r="W188" i="1"/>
  <c r="W180" i="1"/>
  <c r="W179" i="1"/>
  <c r="S63" i="1"/>
  <c r="S64" i="1" s="1"/>
  <c r="O172" i="1"/>
  <c r="O176" i="1" s="1"/>
  <c r="O194" i="1" s="1"/>
  <c r="K43" i="1"/>
  <c r="W70" i="1"/>
  <c r="Y122" i="1"/>
  <c r="W51" i="1"/>
  <c r="O48" i="2"/>
  <c r="K39" i="1"/>
  <c r="U161" i="1"/>
  <c r="G13" i="1"/>
  <c r="Q57" i="2"/>
  <c r="S46" i="2"/>
  <c r="Q45" i="2"/>
  <c r="Q48" i="2" s="1"/>
  <c r="Q56" i="2"/>
  <c r="M172" i="1"/>
  <c r="Q187" i="1"/>
  <c r="Q190" i="1" s="1"/>
  <c r="G45" i="1"/>
  <c r="I39" i="1" s="1"/>
  <c r="I43" i="2"/>
  <c r="I36" i="2"/>
  <c r="S32" i="2"/>
  <c r="S20" i="2"/>
  <c r="W25" i="1"/>
  <c r="Y25" i="1" s="1"/>
  <c r="Q64" i="1"/>
  <c r="M45" i="2"/>
  <c r="M48" i="2" s="1"/>
  <c r="AA139" i="1"/>
  <c r="Y142" i="1"/>
  <c r="W53" i="1"/>
  <c r="U60" i="1"/>
  <c r="U57" i="1"/>
  <c r="U56" i="1" s="1"/>
  <c r="U59" i="1"/>
  <c r="U58" i="1" s="1"/>
  <c r="G51" i="2"/>
  <c r="G49" i="2"/>
  <c r="G60" i="2"/>
  <c r="U19" i="2"/>
  <c r="U13" i="2"/>
  <c r="X12" i="2"/>
  <c r="AA132" i="1"/>
  <c r="Y135" i="1"/>
  <c r="K51" i="2"/>
  <c r="K49" i="2"/>
  <c r="K60" i="2"/>
  <c r="Y69" i="1"/>
  <c r="AA121" i="1"/>
  <c r="Y50" i="1"/>
  <c r="K45" i="1" l="1"/>
  <c r="W26" i="1"/>
  <c r="Y26" i="1" s="1"/>
  <c r="I43" i="1"/>
  <c r="U63" i="1"/>
  <c r="U64" i="1" s="1"/>
  <c r="M60" i="2"/>
  <c r="M51" i="2"/>
  <c r="M49" i="2"/>
  <c r="Y70" i="1"/>
  <c r="Y51" i="1"/>
  <c r="AA122" i="1"/>
  <c r="K61" i="2"/>
  <c r="K63" i="2"/>
  <c r="U20" i="2"/>
  <c r="X19" i="2"/>
  <c r="U32" i="2"/>
  <c r="Y53" i="1"/>
  <c r="Y57" i="1" s="1"/>
  <c r="Y56" i="1" s="1"/>
  <c r="W60" i="1"/>
  <c r="W57" i="1"/>
  <c r="W56" i="1" s="1"/>
  <c r="W59" i="1"/>
  <c r="W58" i="1" s="1"/>
  <c r="S172" i="1"/>
  <c r="M176" i="1"/>
  <c r="M194" i="1" s="1"/>
  <c r="K13" i="1"/>
  <c r="G63" i="2"/>
  <c r="G61" i="2"/>
  <c r="Y59" i="1"/>
  <c r="Y58" i="1" s="1"/>
  <c r="S35" i="2"/>
  <c r="S33" i="2"/>
  <c r="Q172" i="1"/>
  <c r="Q176" i="1" s="1"/>
  <c r="Q194" i="1" s="1"/>
  <c r="AA142" i="1"/>
  <c r="AC139" i="1"/>
  <c r="AA50" i="1"/>
  <c r="AA69" i="1"/>
  <c r="AC121" i="1"/>
  <c r="AC132" i="1"/>
  <c r="AA135" i="1"/>
  <c r="I45" i="2"/>
  <c r="I48" i="2" s="1"/>
  <c r="Q51" i="2"/>
  <c r="Q60" i="2"/>
  <c r="Q49" i="2"/>
  <c r="I36" i="1"/>
  <c r="I44" i="1"/>
  <c r="I42" i="1"/>
  <c r="I40" i="1"/>
  <c r="I35" i="1"/>
  <c r="I41" i="1"/>
  <c r="I38" i="1"/>
  <c r="S56" i="2"/>
  <c r="U46" i="2"/>
  <c r="S57" i="2"/>
  <c r="O49" i="2"/>
  <c r="O60" i="2"/>
  <c r="O51" i="2"/>
  <c r="W63" i="1" l="1"/>
  <c r="W64" i="1" s="1"/>
  <c r="I51" i="2"/>
  <c r="I49" i="2"/>
  <c r="I60" i="2"/>
  <c r="S43" i="2"/>
  <c r="S36" i="2"/>
  <c r="Q61" i="2"/>
  <c r="Q63" i="2"/>
  <c r="AE139" i="1"/>
  <c r="AC142" i="1"/>
  <c r="O63" i="2"/>
  <c r="O61" i="2"/>
  <c r="AC122" i="1"/>
  <c r="AA51" i="1"/>
  <c r="AA70" i="1"/>
  <c r="G27" i="1"/>
  <c r="U172" i="1"/>
  <c r="S176" i="1"/>
  <c r="W172" i="1" s="1"/>
  <c r="AA53" i="1"/>
  <c r="AA57" i="1" s="1"/>
  <c r="AA56" i="1" s="1"/>
  <c r="Y60" i="1"/>
  <c r="Y63" i="1" s="1"/>
  <c r="Y64" i="1" s="1"/>
  <c r="M63" i="2"/>
  <c r="M61" i="2"/>
  <c r="I45" i="1"/>
  <c r="AE132" i="1"/>
  <c r="AC135" i="1"/>
  <c r="X32" i="2"/>
  <c r="U33" i="2"/>
  <c r="U35" i="2"/>
  <c r="U56" i="2"/>
  <c r="U57" i="2"/>
  <c r="AE121" i="1"/>
  <c r="AC69" i="1"/>
  <c r="AC50" i="1"/>
  <c r="AG139" i="1" l="1"/>
  <c r="AE142" i="1"/>
  <c r="U43" i="2"/>
  <c r="U36" i="2"/>
  <c r="X35" i="2"/>
  <c r="AE122" i="1"/>
  <c r="AC70" i="1"/>
  <c r="AC51" i="1"/>
  <c r="AA59" i="1"/>
  <c r="AA58" i="1" s="1"/>
  <c r="S48" i="2"/>
  <c r="S45" i="2"/>
  <c r="I63" i="2"/>
  <c r="I61" i="2"/>
  <c r="AG121" i="1"/>
  <c r="AE50" i="1"/>
  <c r="AE69" i="1"/>
  <c r="AE135" i="1"/>
  <c r="AG132" i="1"/>
  <c r="AC53" i="1"/>
  <c r="AA60" i="1"/>
  <c r="W163" i="1"/>
  <c r="W171" i="1"/>
  <c r="W169" i="1"/>
  <c r="W167" i="1"/>
  <c r="W162" i="1"/>
  <c r="W174" i="1"/>
  <c r="W173" i="1"/>
  <c r="W170" i="1"/>
  <c r="W166" i="1"/>
  <c r="W165" i="1"/>
  <c r="W168" i="1"/>
  <c r="W175" i="1"/>
  <c r="W160" i="1"/>
  <c r="W164" i="1"/>
  <c r="S194" i="1"/>
  <c r="W161" i="1"/>
  <c r="K27" i="1"/>
  <c r="K31" i="1" s="1"/>
  <c r="G31" i="1"/>
  <c r="I27" i="1" s="1"/>
  <c r="AC59" i="1"/>
  <c r="AC58" i="1" s="1"/>
  <c r="AA63" i="1" l="1"/>
  <c r="AA64" i="1" s="1"/>
  <c r="AG69" i="1"/>
  <c r="AI121" i="1"/>
  <c r="AG50" i="1"/>
  <c r="AE70" i="1"/>
  <c r="AG122" i="1"/>
  <c r="AE51" i="1"/>
  <c r="S60" i="2"/>
  <c r="S49" i="2"/>
  <c r="S51" i="2"/>
  <c r="AG135" i="1"/>
  <c r="AI132" i="1"/>
  <c r="AI135" i="1" s="1"/>
  <c r="AE53" i="1"/>
  <c r="AE59" i="1" s="1"/>
  <c r="AE58" i="1" s="1"/>
  <c r="AC60" i="1"/>
  <c r="X43" i="2"/>
  <c r="U45" i="2"/>
  <c r="U48" i="2" s="1"/>
  <c r="I20" i="1"/>
  <c r="I16" i="1"/>
  <c r="I29" i="1"/>
  <c r="I25" i="1"/>
  <c r="I24" i="1"/>
  <c r="I18" i="1"/>
  <c r="I19" i="1"/>
  <c r="I14" i="1"/>
  <c r="I28" i="1"/>
  <c r="I22" i="1"/>
  <c r="I30" i="1"/>
  <c r="I21" i="1"/>
  <c r="I17" i="1"/>
  <c r="I12" i="1"/>
  <c r="I13" i="1"/>
  <c r="AC57" i="1"/>
  <c r="AC56" i="1" s="1"/>
  <c r="AG142" i="1"/>
  <c r="AI139" i="1"/>
  <c r="AI142" i="1" s="1"/>
  <c r="I31" i="1" l="1"/>
  <c r="AC63" i="1"/>
  <c r="AC64" i="1" s="1"/>
  <c r="U49" i="2"/>
  <c r="U60" i="2"/>
  <c r="U51" i="2"/>
  <c r="X51" i="2" s="1"/>
  <c r="X48" i="2"/>
  <c r="S63" i="2"/>
  <c r="S61" i="2"/>
  <c r="AG53" i="1"/>
  <c r="AG59" i="1" s="1"/>
  <c r="AG58" i="1" s="1"/>
  <c r="AE60" i="1"/>
  <c r="AI122" i="1"/>
  <c r="AG51" i="1"/>
  <c r="AG70" i="1"/>
  <c r="AE57" i="1"/>
  <c r="AE56" i="1" s="1"/>
  <c r="AI50" i="1"/>
  <c r="AI69" i="1"/>
  <c r="AE63" i="1" l="1"/>
  <c r="AE64" i="1" s="1"/>
  <c r="AG57" i="1"/>
  <c r="AG56" i="1" s="1"/>
  <c r="AI70" i="1"/>
  <c r="AI51" i="1"/>
  <c r="U63" i="2"/>
  <c r="X63" i="2" s="1"/>
  <c r="U61" i="2"/>
  <c r="X60" i="2"/>
  <c r="AI53" i="1"/>
  <c r="AG60" i="1"/>
  <c r="AG63" i="1" l="1"/>
  <c r="AG64" i="1" s="1"/>
  <c r="AI60" i="1"/>
  <c r="AI59" i="1"/>
  <c r="AI58" i="1" s="1"/>
  <c r="AI57" i="1"/>
  <c r="AI56" i="1" s="1"/>
  <c r="AI63" i="1" l="1"/>
  <c r="AI64" i="1" s="1"/>
  <c r="I164" i="1"/>
  <c r="K164" i="1"/>
  <c r="I176" i="1"/>
  <c r="K176" i="1"/>
  <c r="I188" i="1"/>
  <c r="K188" i="1"/>
  <c r="I190" i="1"/>
  <c r="K190" i="1"/>
  <c r="I194" i="1"/>
  <c r="K194" i="1"/>
</calcChain>
</file>

<file path=xl/comments1.xml><?xml version="1.0" encoding="utf-8"?>
<comments xmlns="http://schemas.openxmlformats.org/spreadsheetml/2006/main">
  <authors>
    <author>Ryan MacGregor</author>
  </authors>
  <commentList>
    <comment ref="AQ33" authorId="0" shapeId="0">
      <text>
        <r>
          <rPr>
            <sz val="8"/>
            <color indexed="8"/>
            <rFont val="Tahoma"/>
          </rPr>
          <t>Includes current portion of long-term debt.</t>
        </r>
      </text>
    </comment>
    <comment ref="Q41" authorId="0" shapeId="0">
      <text>
        <r>
          <rPr>
            <sz val="8"/>
            <color indexed="8"/>
            <rFont val="Tahoma"/>
          </rPr>
          <t>This is the size of the revolving credit facility to which the bank has committed.</t>
        </r>
      </text>
    </comment>
    <comment ref="Y41" authorId="0" shapeId="0">
      <text>
        <r>
          <rPr>
            <sz val="8"/>
            <color indexed="8"/>
            <rFont val="Tahoma"/>
          </rPr>
          <t>Closing date should be no more than 12 months from the last FYE or model will break.</t>
        </r>
      </text>
    </comment>
    <comment ref="Y43" authorId="0" shapeId="0">
      <text>
        <r>
          <rPr>
            <sz val="8"/>
            <color indexed="8"/>
            <rFont val="Tahoma"/>
          </rPr>
          <t>This should never be less than zero.</t>
        </r>
      </text>
    </comment>
    <comment ref="AK51" authorId="0" shapeId="0">
      <text>
        <r>
          <rPr>
            <sz val="8"/>
            <color indexed="8"/>
            <rFont val="Tahoma"/>
          </rPr>
          <t>Source:  10-Q dated 3/31/2008.</t>
        </r>
      </text>
    </comment>
    <comment ref="AM51" authorId="0" shapeId="0">
      <text>
        <r>
          <rPr>
            <sz val="8"/>
            <color indexed="8"/>
            <rFont val="Tahoma"/>
          </rPr>
          <t>Source:  10-Q dated 3/31/2008.</t>
        </r>
      </text>
    </comment>
    <comment ref="S57" authorId="0" shapeId="0">
      <text>
        <r>
          <rPr>
            <sz val="8"/>
            <color indexed="81"/>
            <rFont val="Tahoma"/>
            <family val="2"/>
          </rPr>
          <t>Assume synergies are not realized until Year 2.</t>
        </r>
      </text>
    </comment>
    <comment ref="A58" authorId="0" shapeId="0">
      <text>
        <r>
          <rPr>
            <sz val="8"/>
            <color indexed="8"/>
            <rFont val="Tahoma"/>
          </rPr>
          <t>Does not include stock-based compensation expense.</t>
        </r>
      </text>
    </comment>
    <comment ref="S59" authorId="0" shapeId="0">
      <text>
        <r>
          <rPr>
            <sz val="8"/>
            <color indexed="81"/>
            <rFont val="Tahoma"/>
            <family val="2"/>
          </rPr>
          <t>Assume synergies are not realized until Year 2.</t>
        </r>
      </text>
    </comment>
    <comment ref="B75" authorId="0" shapeId="0">
      <text>
        <r>
          <rPr>
            <sz val="8"/>
            <color indexed="8"/>
            <rFont val="Tahoma"/>
          </rPr>
          <t>This DTA does not include NOLs.  Any NOLs are reflected in the long-term DTA below.</t>
        </r>
      </text>
    </comment>
    <comment ref="B99" authorId="0" shapeId="0">
      <text>
        <r>
          <rPr>
            <sz val="8"/>
            <color indexed="8"/>
            <rFont val="Tahoma"/>
          </rPr>
          <t>Any DTAs related to NOLs are included here as a negative DTL.</t>
        </r>
      </text>
    </comment>
    <comment ref="B108" authorId="0" shapeId="0">
      <text>
        <r>
          <rPr>
            <sz val="8"/>
            <color indexed="8"/>
            <rFont val="Tahoma"/>
          </rPr>
          <t>Under the new FAS 141r accounting rules, effective 12/15/2008, non-controlling interest now resides in the shareholders' equity section of the balance sheet.</t>
        </r>
      </text>
    </comment>
    <comment ref="U158" authorId="0" shapeId="0">
      <text>
        <r>
          <rPr>
            <sz val="8"/>
            <color indexed="81"/>
            <rFont val="Tahoma"/>
            <family val="2"/>
          </rPr>
          <t>LTM EBITDA</t>
        </r>
      </text>
    </comment>
  </commentList>
</comments>
</file>

<file path=xl/sharedStrings.xml><?xml version="1.0" encoding="utf-8"?>
<sst xmlns="http://schemas.openxmlformats.org/spreadsheetml/2006/main" count="331" uniqueCount="243">
  <si>
    <t>($ in millions, except per share data)</t>
  </si>
  <si>
    <t>Valuation Summary</t>
  </si>
  <si>
    <t>Current Target Stock Price</t>
  </si>
  <si>
    <t>Offer Premium</t>
  </si>
  <si>
    <t>Offer Price Per Target Share</t>
  </si>
  <si>
    <t>Calendarization / Timing</t>
  </si>
  <si>
    <t>Last Fiscal Year End</t>
  </si>
  <si>
    <t>LTM End Date</t>
  </si>
  <si>
    <t>Current Date</t>
  </si>
  <si>
    <t>Expected Closing Date</t>
  </si>
  <si>
    <t>Months from Last FYE to LTM End</t>
  </si>
  <si>
    <t>Months from Closing to Next FYE</t>
  </si>
  <si>
    <t>Stub Allocation</t>
  </si>
  <si>
    <t>Model Detail</t>
  </si>
  <si>
    <t>Target Code Name</t>
  </si>
  <si>
    <t>TargetCo</t>
  </si>
  <si>
    <t>Model Created / Modified by:</t>
  </si>
  <si>
    <t>Last Modified:</t>
  </si>
  <si>
    <t>File Name:</t>
  </si>
  <si>
    <t>Chris P. Chicken</t>
  </si>
  <si>
    <t>212-555-1212</t>
  </si>
  <si>
    <t>CAGR</t>
  </si>
  <si>
    <t>Total Revenue</t>
  </si>
  <si>
    <t>% Growth</t>
  </si>
  <si>
    <t>NA</t>
  </si>
  <si>
    <t>COGS</t>
  </si>
  <si>
    <t>% of Sales</t>
  </si>
  <si>
    <t>Gross Profit</t>
  </si>
  <si>
    <t>% Margin</t>
  </si>
  <si>
    <t>SG&amp;A</t>
  </si>
  <si>
    <t>EBITDA</t>
  </si>
  <si>
    <t>Depreciation</t>
  </si>
  <si>
    <t>Amortization</t>
  </si>
  <si>
    <t>Total D&amp;A</t>
  </si>
  <si>
    <t>Stock-Based Comp</t>
  </si>
  <si>
    <t>EBIT</t>
  </si>
  <si>
    <t>EBITA</t>
  </si>
  <si>
    <t>Interest (Income) / Expense</t>
  </si>
  <si>
    <t>Equity (Income)</t>
  </si>
  <si>
    <t>Minority Interest</t>
  </si>
  <si>
    <t>Other (Income) / Expense</t>
  </si>
  <si>
    <t>Income Before Taxes</t>
  </si>
  <si>
    <t>Provision for Tax</t>
  </si>
  <si>
    <t>% Tax Rate</t>
  </si>
  <si>
    <t>Cash Net Income</t>
  </si>
  <si>
    <t>Cash Diluted EPS</t>
  </si>
  <si>
    <t>Diluted Shares Out</t>
  </si>
  <si>
    <t>Cash to GAAP Reconciliation:</t>
  </si>
  <si>
    <t>One-Time Charges</t>
  </si>
  <si>
    <t>GAAP Net Income</t>
  </si>
  <si>
    <t>GAAP Diluted EPS</t>
  </si>
  <si>
    <t>Capex</t>
  </si>
  <si>
    <t>Operating Assumptions</t>
  </si>
  <si>
    <t>Revenue Growth</t>
  </si>
  <si>
    <t>Management Case</t>
  </si>
  <si>
    <t>Analyst Case</t>
  </si>
  <si>
    <t>Downside Case</t>
  </si>
  <si>
    <t>COGS (% of Sales)</t>
  </si>
  <si>
    <t>SG&amp;A (% of Sales)</t>
  </si>
  <si>
    <t>Other (% of Sales)</t>
  </si>
  <si>
    <t>Operating Performance Drivers</t>
  </si>
  <si>
    <t>COGS Savings</t>
  </si>
  <si>
    <t>SG&amp;A Savings</t>
  </si>
  <si>
    <t>Total Savings</t>
  </si>
  <si>
    <t>Income Statement</t>
  </si>
  <si>
    <t>Net Sales</t>
  </si>
  <si>
    <t>Other</t>
  </si>
  <si>
    <t>LTM Inputs</t>
  </si>
  <si>
    <t>Ended</t>
  </si>
  <si>
    <t>LTM</t>
  </si>
  <si>
    <t>Balance Sheet</t>
  </si>
  <si>
    <t>Historical</t>
  </si>
  <si>
    <t>Adjustments</t>
  </si>
  <si>
    <t>Pro Forma</t>
  </si>
  <si>
    <t>GAAP/</t>
  </si>
  <si>
    <t>Closing</t>
  </si>
  <si>
    <t>Financing</t>
  </si>
  <si>
    <t>Assets</t>
  </si>
  <si>
    <t>Cash &amp; Equivalents</t>
  </si>
  <si>
    <t>Accounts Receivable</t>
  </si>
  <si>
    <t>Inventories</t>
  </si>
  <si>
    <t>Deferred Income Taxes</t>
  </si>
  <si>
    <t>Prepaid Expenses &amp; Other</t>
  </si>
  <si>
    <t>Total Current Assets</t>
  </si>
  <si>
    <t>PP&amp;E, gross</t>
  </si>
  <si>
    <t>(Accumluated Depreciation)</t>
  </si>
  <si>
    <t>PP&amp;E, net</t>
  </si>
  <si>
    <t>Equity Investments</t>
  </si>
  <si>
    <t>Capitalized Financing Costs</t>
  </si>
  <si>
    <t>Goodwill, net</t>
  </si>
  <si>
    <t>Intangible Assets, net</t>
  </si>
  <si>
    <t>Operating Rights, net</t>
  </si>
  <si>
    <t>Other Long-Term Assets</t>
  </si>
  <si>
    <t>Total Assets</t>
  </si>
  <si>
    <t>Liabilities</t>
  </si>
  <si>
    <t>Short-Term Debt</t>
  </si>
  <si>
    <t>Accounts Payable</t>
  </si>
  <si>
    <t>Accrued Liabilities</t>
  </si>
  <si>
    <t>Client Deposits</t>
  </si>
  <si>
    <t>Other Current Liabilities</t>
  </si>
  <si>
    <t>Total Current Liabilities</t>
  </si>
  <si>
    <t>Capital Leases</t>
  </si>
  <si>
    <t>Other Long-Term Liabilities</t>
  </si>
  <si>
    <t>Existing LT Debt (excl. current portion)</t>
  </si>
  <si>
    <t>Total Liabilities</t>
  </si>
  <si>
    <t>Shareholders' Equity</t>
  </si>
  <si>
    <t>Existing Shareholders' Equity</t>
  </si>
  <si>
    <t>Additional Paid-In Capital</t>
  </si>
  <si>
    <t>Retained Earnings</t>
  </si>
  <si>
    <t>Total Shareholders' Equity</t>
  </si>
  <si>
    <t>Liabilities &amp; S/H Equity</t>
  </si>
  <si>
    <t>Check</t>
  </si>
  <si>
    <t>Options</t>
  </si>
  <si>
    <t>Number of</t>
  </si>
  <si>
    <t>Average</t>
  </si>
  <si>
    <t>Treasury</t>
  </si>
  <si>
    <t>Options (m)</t>
  </si>
  <si>
    <t>Strike</t>
  </si>
  <si>
    <t>Shares</t>
  </si>
  <si>
    <t>Tranche 1</t>
  </si>
  <si>
    <t>Tranche 2</t>
  </si>
  <si>
    <t>Tranche 3</t>
  </si>
  <si>
    <t>Tranche 4</t>
  </si>
  <si>
    <t>Tranche 5</t>
  </si>
  <si>
    <t>Tranche 6</t>
  </si>
  <si>
    <t>Tranche 7</t>
  </si>
  <si>
    <t>Tranche 8</t>
  </si>
  <si>
    <t>Tranche 9</t>
  </si>
  <si>
    <t>Tranche 10</t>
  </si>
  <si>
    <t>Convertible Debt</t>
  </si>
  <si>
    <t>Convert 1</t>
  </si>
  <si>
    <t>Convert 2</t>
  </si>
  <si>
    <t>Face Value</t>
  </si>
  <si>
    <t>Conversion Price</t>
  </si>
  <si>
    <t>Convertible Shares</t>
  </si>
  <si>
    <t>Interest Rate</t>
  </si>
  <si>
    <t>Fully Diluted Shares Outstanding</t>
  </si>
  <si>
    <t>Basic Shares Outstanding</t>
  </si>
  <si>
    <t>Treasury Method Shares</t>
  </si>
  <si>
    <t>In-the-Money Convertible Shares</t>
  </si>
  <si>
    <t>Net Debt</t>
  </si>
  <si>
    <t>Non-Convertible Debt</t>
  </si>
  <si>
    <t>Cash &amp; Cash Equivalents</t>
  </si>
  <si>
    <t>Fully Diluted Shares Outstanding (mm)</t>
  </si>
  <si>
    <t>Equity Purchase Price</t>
  </si>
  <si>
    <t>Target Pro Forma Net Debt</t>
  </si>
  <si>
    <t>Pro Forma Enterprise Value</t>
  </si>
  <si>
    <t>Pro Forma Enterprise Value Multiples</t>
  </si>
  <si>
    <t>Metric</t>
  </si>
  <si>
    <t>Multiple</t>
  </si>
  <si>
    <t>LTM Sales</t>
  </si>
  <si>
    <t>LTM EBITDA</t>
  </si>
  <si>
    <t>Current Interest Rates</t>
  </si>
  <si>
    <t>3-Month LIBOR</t>
  </si>
  <si>
    <t>10-Year Treasury</t>
  </si>
  <si>
    <t>Interest on Excess Cash</t>
  </si>
  <si>
    <t>Refinance Target Debt</t>
  </si>
  <si>
    <t>Refinance?</t>
  </si>
  <si>
    <t>Minimum Cash / Revolver</t>
  </si>
  <si>
    <t>Minimum Cash Balance</t>
  </si>
  <si>
    <t>Total Bank Commitment</t>
  </si>
  <si>
    <t>Scenario</t>
  </si>
  <si>
    <t>Financing Case</t>
  </si>
  <si>
    <t>Transaction Fees &amp; Expenses Assumptions</t>
  </si>
  <si>
    <t>Fees (%)</t>
  </si>
  <si>
    <t>Computation Metric</t>
  </si>
  <si>
    <t>Fees ($)</t>
  </si>
  <si>
    <t>Notes / Assumptions</t>
  </si>
  <si>
    <t>M&amp;A / Sponsor Fees</t>
  </si>
  <si>
    <t>Bank Fee</t>
  </si>
  <si>
    <t>Expensed as incurred (in current period) in accordance with FAS 141r</t>
  </si>
  <si>
    <t>Sponsor Fee</t>
  </si>
  <si>
    <t>Financing Fees</t>
  </si>
  <si>
    <t>of Total Facility Size (Commitment):</t>
  </si>
  <si>
    <t>Capitalized / amortized over life of financing</t>
  </si>
  <si>
    <t>of Total Principal Amount:</t>
  </si>
  <si>
    <t>Reduction in Gross Proceeds.  Reduction in APIC.</t>
  </si>
  <si>
    <t>Other Miscellaneous Fees</t>
  </si>
  <si>
    <t>Legal</t>
  </si>
  <si>
    <t>Accounting</t>
  </si>
  <si>
    <t>Printing</t>
  </si>
  <si>
    <t>Target's Expenses</t>
  </si>
  <si>
    <t>Revolver</t>
  </si>
  <si>
    <t>Term Loan - A</t>
  </si>
  <si>
    <t>Term Loan - B</t>
  </si>
  <si>
    <t>Senior Note</t>
  </si>
  <si>
    <t>Subordinated Note</t>
  </si>
  <si>
    <t>Mezzanine</t>
  </si>
  <si>
    <t>Seller Note</t>
  </si>
  <si>
    <t>Preferred Stock - A</t>
  </si>
  <si>
    <t>Preferred Stock - B</t>
  </si>
  <si>
    <t>of Transaction Value (excl. Fees &amp; Expenses):</t>
  </si>
  <si>
    <t>Capital Structure Assumptions</t>
  </si>
  <si>
    <t>Active</t>
  </si>
  <si>
    <t>Financing Scenarios</t>
  </si>
  <si>
    <t>Case</t>
  </si>
  <si>
    <t>Description</t>
  </si>
  <si>
    <t>No deal</t>
  </si>
  <si>
    <t>Refi A</t>
  </si>
  <si>
    <t>Refi B</t>
  </si>
  <si>
    <t>LBO A</t>
  </si>
  <si>
    <t>LBO B</t>
  </si>
  <si>
    <t>LBO C</t>
  </si>
  <si>
    <t>Mult. of</t>
  </si>
  <si>
    <t>Percent</t>
  </si>
  <si>
    <t>of Total</t>
  </si>
  <si>
    <t>Sources of Funds</t>
  </si>
  <si>
    <t>Total Sources</t>
  </si>
  <si>
    <t>Excess Cash</t>
  </si>
  <si>
    <t>Debt Assumed</t>
  </si>
  <si>
    <t>Common - Sponsor</t>
  </si>
  <si>
    <t>Management Rollover</t>
  </si>
  <si>
    <t>Investor Rollover</t>
  </si>
  <si>
    <t>Uses of Funds</t>
  </si>
  <si>
    <t>Refinance Debt</t>
  </si>
  <si>
    <t>Tender / Call Premium</t>
  </si>
  <si>
    <t>Expensed Transaction Costs</t>
  </si>
  <si>
    <t>Total Uses</t>
  </si>
  <si>
    <t>LBO?</t>
  </si>
  <si>
    <t>Existing Shareholders</t>
  </si>
  <si>
    <t>Fund Cash Balance</t>
  </si>
  <si>
    <t>Assume Debt</t>
  </si>
  <si>
    <t>Noncontrolling (Minority) Interest</t>
  </si>
  <si>
    <t>Assume Noncontrolling Interest</t>
  </si>
  <si>
    <t>Purchase Noncontrolling Interest</t>
  </si>
  <si>
    <t>Noncontrolling Interest Assumed</t>
  </si>
  <si>
    <t>Sources &amp; Uses of Funds</t>
  </si>
  <si>
    <t>% of</t>
  </si>
  <si>
    <t>Interest</t>
  </si>
  <si>
    <t>$ mm</t>
  </si>
  <si>
    <t>Total</t>
  </si>
  <si>
    <t>Rate</t>
  </si>
  <si>
    <t>Spread</t>
  </si>
  <si>
    <t>Years</t>
  </si>
  <si>
    <t>PIK</t>
  </si>
  <si>
    <t>Debt</t>
  </si>
  <si>
    <t>Preferred</t>
  </si>
  <si>
    <t>Equity</t>
  </si>
  <si>
    <t>Other Uses</t>
  </si>
  <si>
    <t>Fees &amp; Expenses</t>
  </si>
  <si>
    <t>Assume Noncontrolling Int.</t>
  </si>
  <si>
    <t>Purchase Noncontrolling Int.</t>
  </si>
  <si>
    <t>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</si>
</sst>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3" formatCode="_(* #,##0.00_);_(* \(#,##0.00\);_(* &quot;-&quot;??_);_(@_)"/>
    <numFmt numFmtId="164" formatCode="0.0%_);\(0.0%\);0.0%_);@_)"/>
    <numFmt numFmtId="165" formatCode="0000\P"/>
    <numFmt numFmtId="166" formatCode="0.00%_);\(0.00%\);0.00%_);@_)"/>
    <numFmt numFmtId="167" formatCode="&quot;$&quot;#,##0.00_);\(&quot;$&quot;#,##0.00\);&quot;$&quot;#,##0.00_);@_)"/>
    <numFmt numFmtId="168" formatCode="&quot;$&quot;#,##0.0_);\(&quot;$&quot;#,##0.0\);&quot;$&quot;#,##0.0_);@_)"/>
    <numFmt numFmtId="169" formatCode="0.00\x_);\(0.00\x\);0.00\x_);@_)"/>
    <numFmt numFmtId="170" formatCode="#,##0.0_);\(#,##0.0\);#,##0.0_);@_)"/>
    <numFmt numFmtId="171" formatCode="#,##0.000_);\(#,##0.000\)"/>
    <numFmt numFmtId="174" formatCode="#,##0.0_);\(#,##0.0\)"/>
    <numFmt numFmtId="175" formatCode="0.0\x_);\(0.0\x\);0.0\x_);@_)"/>
    <numFmt numFmtId="176" formatCode="&quot;yes&quot;;&quot;ERROR&quot;;&quot;no&quot;;&quot;ERROR&quot;"/>
    <numFmt numFmtId="177" formatCode="&quot;$&quot;#,##0.0_);\(&quot;$&quot;#,##0.0\)"/>
    <numFmt numFmtId="178" formatCode="&quot;Year &quot;0"/>
    <numFmt numFmtId="179" formatCode="#,##0.000_);\(#,##0.000\);#,##0.000_);@_)"/>
    <numFmt numFmtId="180" formatCode="#,##0.00_);\(#,##0.00\);#,##0.00_);@_)"/>
    <numFmt numFmtId="181" formatCode="0000\A"/>
    <numFmt numFmtId="182" formatCode="0000&quot;E&quot;"/>
    <numFmt numFmtId="185" formatCode="m/d/yyyy;@"/>
    <numFmt numFmtId="186" formatCode="&quot;Case &quot;0"/>
    <numFmt numFmtId="187" formatCode="0.000"/>
  </numFmts>
  <fonts count="31">
    <font>
      <sz val="10"/>
      <name val="Arial"/>
    </font>
    <font>
      <sz val="10"/>
      <name val="Arial"/>
    </font>
    <font>
      <sz val="18"/>
      <color indexed="8"/>
      <name val="Arial"/>
      <family val="2"/>
    </font>
    <font>
      <i/>
      <sz val="9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indexed="12"/>
      <name val="Arial"/>
    </font>
    <font>
      <i/>
      <sz val="10"/>
      <name val="Arial"/>
      <family val="2"/>
    </font>
    <font>
      <i/>
      <sz val="10"/>
      <color indexed="12"/>
      <name val="Arial"/>
      <family val="2"/>
    </font>
    <font>
      <sz val="10"/>
      <name val="Arial"/>
      <family val="2"/>
    </font>
    <font>
      <sz val="10"/>
      <name val="MS Sans Serif"/>
    </font>
    <font>
      <sz val="8"/>
      <color indexed="8"/>
      <name val="Tahoma"/>
    </font>
    <font>
      <sz val="8"/>
      <name val="Arial"/>
    </font>
    <font>
      <i/>
      <sz val="16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</font>
    <font>
      <sz val="10"/>
      <color indexed="10"/>
      <name val="Arial"/>
    </font>
    <font>
      <b/>
      <u/>
      <sz val="10"/>
      <name val="Arial"/>
      <family val="2"/>
    </font>
    <font>
      <i/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17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sz val="10"/>
      <color indexed="17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8"/>
      <name val="Arial"/>
    </font>
    <font>
      <b/>
      <i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22"/>
      </bottom>
      <diagonal/>
    </border>
    <border>
      <left/>
      <right/>
      <top style="medium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2"/>
      </top>
      <bottom style="double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/>
  </cellStyleXfs>
  <cellXfs count="159">
    <xf numFmtId="0" fontId="0" fillId="0" borderId="0" xfId="0"/>
    <xf numFmtId="0" fontId="2" fillId="0" borderId="1" xfId="0" applyFont="1" applyBorder="1"/>
    <xf numFmtId="0" fontId="0" fillId="0" borderId="1" xfId="0" applyBorder="1"/>
    <xf numFmtId="0" fontId="3" fillId="0" borderId="0" xfId="0" applyFont="1"/>
    <xf numFmtId="0" fontId="4" fillId="2" borderId="0" xfId="0" applyFont="1" applyFill="1" applyAlignment="1">
      <alignment horizontal="centerContinuous"/>
    </xf>
    <xf numFmtId="0" fontId="0" fillId="0" borderId="0" xfId="0" applyNumberFormat="1" applyFont="1" applyFill="1" applyBorder="1" applyAlignment="1" applyProtection="1"/>
    <xf numFmtId="0" fontId="0" fillId="0" borderId="0" xfId="0" applyBorder="1"/>
    <xf numFmtId="167" fontId="6" fillId="0" borderId="0" xfId="0" applyNumberFormat="1" applyFont="1"/>
    <xf numFmtId="0" fontId="0" fillId="0" borderId="0" xfId="0" applyFill="1" applyBorder="1"/>
    <xf numFmtId="164" fontId="8" fillId="0" borderId="0" xfId="0" applyNumberFormat="1" applyFont="1" applyBorder="1"/>
    <xf numFmtId="0" fontId="5" fillId="0" borderId="0" xfId="0" applyFont="1"/>
    <xf numFmtId="167" fontId="1" fillId="0" borderId="0" xfId="0" applyNumberFormat="1" applyFont="1"/>
    <xf numFmtId="164" fontId="7" fillId="0" borderId="0" xfId="0" applyNumberFormat="1" applyFont="1" applyBorder="1"/>
    <xf numFmtId="14" fontId="6" fillId="0" borderId="0" xfId="0" applyNumberFormat="1" applyFont="1"/>
    <xf numFmtId="37" fontId="9" fillId="0" borderId="0" xfId="0" applyNumberFormat="1" applyFont="1"/>
    <xf numFmtId="0" fontId="6" fillId="0" borderId="0" xfId="0" applyFont="1" applyAlignment="1">
      <alignment horizontal="right"/>
    </xf>
    <xf numFmtId="14" fontId="1" fillId="0" borderId="0" xfId="0" applyNumberFormat="1" applyFont="1"/>
    <xf numFmtId="18" fontId="9" fillId="0" borderId="0" xfId="2" applyNumberFormat="1" applyFont="1" applyAlignment="1">
      <alignment horizontal="right"/>
    </xf>
    <xf numFmtId="0" fontId="13" fillId="0" borderId="1" xfId="0" applyFont="1" applyBorder="1"/>
    <xf numFmtId="0" fontId="7" fillId="0" borderId="0" xfId="0" applyFont="1"/>
    <xf numFmtId="0" fontId="5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5" fillId="0" borderId="0" xfId="0" applyFont="1" applyAlignment="1">
      <alignment horizontal="center"/>
    </xf>
    <xf numFmtId="181" fontId="5" fillId="0" borderId="2" xfId="0" applyNumberFormat="1" applyFont="1" applyBorder="1" applyAlignment="1">
      <alignment horizontal="center"/>
    </xf>
    <xf numFmtId="0" fontId="9" fillId="0" borderId="0" xfId="0" applyFont="1"/>
    <xf numFmtId="181" fontId="14" fillId="0" borderId="2" xfId="0" applyNumberFormat="1" applyFon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165" fontId="15" fillId="0" borderId="0" xfId="0" applyNumberFormat="1" applyFont="1" applyBorder="1" applyAlignment="1">
      <alignment horizontal="center"/>
    </xf>
    <xf numFmtId="182" fontId="15" fillId="0" borderId="2" xfId="0" applyNumberFormat="1" applyFont="1" applyBorder="1" applyAlignment="1">
      <alignment horizontal="center"/>
    </xf>
    <xf numFmtId="14" fontId="5" fillId="0" borderId="2" xfId="0" applyNumberFormat="1" applyFont="1" applyBorder="1" applyAlignment="1">
      <alignment horizontal="center"/>
    </xf>
    <xf numFmtId="168" fontId="5" fillId="0" borderId="0" xfId="0" applyNumberFormat="1" applyFont="1"/>
    <xf numFmtId="168" fontId="14" fillId="0" borderId="0" xfId="0" applyNumberFormat="1" applyFont="1"/>
    <xf numFmtId="168" fontId="15" fillId="0" borderId="0" xfId="0" applyNumberFormat="1" applyFont="1"/>
    <xf numFmtId="164" fontId="16" fillId="0" borderId="0" xfId="0" applyNumberFormat="1" applyFont="1"/>
    <xf numFmtId="0" fontId="7" fillId="0" borderId="0" xfId="0" applyFont="1" applyAlignment="1">
      <alignment horizontal="right"/>
    </xf>
    <xf numFmtId="164" fontId="8" fillId="0" borderId="0" xfId="0" applyNumberFormat="1" applyFont="1"/>
    <xf numFmtId="0" fontId="17" fillId="0" borderId="0" xfId="0" applyFont="1"/>
    <xf numFmtId="170" fontId="0" fillId="0" borderId="0" xfId="0" applyNumberFormat="1"/>
    <xf numFmtId="170" fontId="6" fillId="0" borderId="0" xfId="0" applyNumberFormat="1" applyFont="1"/>
    <xf numFmtId="170" fontId="18" fillId="0" borderId="0" xfId="0" applyNumberFormat="1" applyFont="1"/>
    <xf numFmtId="164" fontId="16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168" fontId="18" fillId="0" borderId="3" xfId="0" applyNumberFormat="1" applyFont="1" applyBorder="1"/>
    <xf numFmtId="170" fontId="6" fillId="0" borderId="0" xfId="0" applyNumberFormat="1" applyFont="1" applyFill="1" applyBorder="1" applyAlignment="1"/>
    <xf numFmtId="0" fontId="0" fillId="0" borderId="4" xfId="0" applyBorder="1"/>
    <xf numFmtId="0" fontId="0" fillId="0" borderId="5" xfId="0" applyBorder="1"/>
    <xf numFmtId="0" fontId="5" fillId="0" borderId="0" xfId="0" applyFont="1" applyBorder="1"/>
    <xf numFmtId="168" fontId="15" fillId="0" borderId="0" xfId="0" applyNumberFormat="1" applyFont="1" applyBorder="1"/>
    <xf numFmtId="0" fontId="5" fillId="0" borderId="6" xfId="0" applyFont="1" applyBorder="1"/>
    <xf numFmtId="0" fontId="7" fillId="0" borderId="0" xfId="0" applyFont="1" applyBorder="1"/>
    <xf numFmtId="164" fontId="16" fillId="0" borderId="0" xfId="0" applyNumberFormat="1" applyFont="1" applyBorder="1" applyAlignment="1">
      <alignment horizontal="right"/>
    </xf>
    <xf numFmtId="0" fontId="7" fillId="0" borderId="6" xfId="0" applyFont="1" applyBorder="1"/>
    <xf numFmtId="0" fontId="0" fillId="0" borderId="6" xfId="0" applyBorder="1"/>
    <xf numFmtId="170" fontId="0" fillId="0" borderId="0" xfId="0" applyNumberFormat="1" applyBorder="1"/>
    <xf numFmtId="170" fontId="6" fillId="0" borderId="0" xfId="0" applyNumberFormat="1" applyFont="1" applyBorder="1"/>
    <xf numFmtId="170" fontId="18" fillId="0" borderId="0" xfId="0" applyNumberFormat="1" applyFont="1" applyBorder="1"/>
    <xf numFmtId="170" fontId="0" fillId="0" borderId="6" xfId="0" applyNumberFormat="1" applyBorder="1"/>
    <xf numFmtId="164" fontId="8" fillId="0" borderId="0" xfId="0" applyNumberFormat="1" applyFont="1" applyBorder="1" applyAlignment="1">
      <alignment horizontal="right"/>
    </xf>
    <xf numFmtId="0" fontId="0" fillId="0" borderId="7" xfId="0" applyBorder="1"/>
    <xf numFmtId="0" fontId="0" fillId="0" borderId="8" xfId="0" applyBorder="1"/>
    <xf numFmtId="0" fontId="1" fillId="0" borderId="0" xfId="0" applyNumberFormat="1" applyFont="1" applyFill="1" applyBorder="1" applyAlignment="1"/>
    <xf numFmtId="43" fontId="6" fillId="0" borderId="0" xfId="1" applyFont="1"/>
    <xf numFmtId="43" fontId="18" fillId="0" borderId="0" xfId="1" applyFont="1"/>
    <xf numFmtId="43" fontId="0" fillId="0" borderId="0" xfId="1" applyNumberFormat="1" applyFont="1"/>
    <xf numFmtId="170" fontId="6" fillId="0" borderId="0" xfId="1" applyNumberFormat="1" applyFont="1"/>
    <xf numFmtId="43" fontId="1" fillId="0" borderId="0" xfId="1" applyFont="1" applyFill="1" applyBorder="1" applyAlignment="1" applyProtection="1"/>
    <xf numFmtId="168" fontId="18" fillId="0" borderId="0" xfId="0" applyNumberFormat="1" applyFont="1" applyBorder="1"/>
    <xf numFmtId="164" fontId="7" fillId="0" borderId="0" xfId="0" applyNumberFormat="1" applyFont="1"/>
    <xf numFmtId="0" fontId="5" fillId="0" borderId="9" xfId="0" applyFont="1" applyBorder="1"/>
    <xf numFmtId="167" fontId="15" fillId="0" borderId="9" xfId="0" applyNumberFormat="1" applyFont="1" applyBorder="1"/>
    <xf numFmtId="0" fontId="5" fillId="0" borderId="10" xfId="0" applyFont="1" applyBorder="1"/>
    <xf numFmtId="179" fontId="6" fillId="0" borderId="0" xfId="0" applyNumberFormat="1" applyFont="1"/>
    <xf numFmtId="179" fontId="19" fillId="0" borderId="0" xfId="0" applyNumberFormat="1" applyFont="1"/>
    <xf numFmtId="179" fontId="1" fillId="0" borderId="0" xfId="0" applyNumberFormat="1" applyFont="1"/>
    <xf numFmtId="168" fontId="18" fillId="0" borderId="0" xfId="0" applyNumberFormat="1" applyFont="1"/>
    <xf numFmtId="168" fontId="15" fillId="0" borderId="3" xfId="0" applyNumberFormat="1" applyFont="1" applyBorder="1"/>
    <xf numFmtId="168" fontId="0" fillId="0" borderId="0" xfId="0" applyNumberFormat="1"/>
    <xf numFmtId="168" fontId="6" fillId="0" borderId="0" xfId="0" applyNumberFormat="1" applyFont="1"/>
    <xf numFmtId="177" fontId="18" fillId="0" borderId="3" xfId="0" applyNumberFormat="1" applyFont="1" applyBorder="1"/>
    <xf numFmtId="177" fontId="0" fillId="0" borderId="0" xfId="0" applyNumberFormat="1" applyBorder="1"/>
    <xf numFmtId="0" fontId="1" fillId="0" borderId="0" xfId="0" applyFont="1" applyAlignment="1">
      <alignment horizontal="left"/>
    </xf>
    <xf numFmtId="178" fontId="5" fillId="0" borderId="0" xfId="0" applyNumberFormat="1" applyFont="1" applyAlignment="1">
      <alignment horizontal="center"/>
    </xf>
    <xf numFmtId="0" fontId="15" fillId="0" borderId="2" xfId="0" applyNumberFormat="1" applyFont="1" applyBorder="1" applyAlignment="1">
      <alignment horizontal="center"/>
    </xf>
    <xf numFmtId="0" fontId="20" fillId="0" borderId="0" xfId="0" applyFont="1"/>
    <xf numFmtId="0" fontId="6" fillId="0" borderId="0" xfId="0" applyFont="1"/>
    <xf numFmtId="164" fontId="21" fillId="0" borderId="0" xfId="0" applyNumberFormat="1" applyFont="1"/>
    <xf numFmtId="164" fontId="22" fillId="0" borderId="0" xfId="0" applyNumberFormat="1" applyFont="1"/>
    <xf numFmtId="178" fontId="14" fillId="0" borderId="0" xfId="0" applyNumberFormat="1" applyFont="1" applyBorder="1" applyAlignment="1">
      <alignment horizontal="center"/>
    </xf>
    <xf numFmtId="0" fontId="23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4" fillId="0" borderId="0" xfId="0" applyNumberFormat="1" applyFont="1"/>
    <xf numFmtId="174" fontId="6" fillId="0" borderId="0" xfId="0" applyNumberFormat="1" applyFont="1"/>
    <xf numFmtId="177" fontId="0" fillId="0" borderId="3" xfId="0" applyNumberFormat="1" applyBorder="1"/>
    <xf numFmtId="168" fontId="23" fillId="0" borderId="0" xfId="0" applyNumberFormat="1" applyFont="1"/>
    <xf numFmtId="170" fontId="1" fillId="0" borderId="0" xfId="0" applyNumberFormat="1" applyFont="1"/>
    <xf numFmtId="177" fontId="5" fillId="0" borderId="3" xfId="0" applyNumberFormat="1" applyFont="1" applyBorder="1"/>
    <xf numFmtId="170" fontId="26" fillId="0" borderId="0" xfId="0" applyNumberFormat="1" applyFont="1"/>
    <xf numFmtId="1" fontId="5" fillId="0" borderId="2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185" fontId="5" fillId="0" borderId="2" xfId="0" applyNumberFormat="1" applyFont="1" applyBorder="1" applyAlignment="1">
      <alignment horizontal="center"/>
    </xf>
    <xf numFmtId="0" fontId="15" fillId="0" borderId="2" xfId="0" applyNumberFormat="1" applyFont="1" applyBorder="1" applyAlignment="1">
      <alignment horizontal="centerContinuous"/>
    </xf>
    <xf numFmtId="14" fontId="15" fillId="0" borderId="2" xfId="0" applyNumberFormat="1" applyFont="1" applyBorder="1" applyAlignment="1">
      <alignment horizontal="center"/>
    </xf>
    <xf numFmtId="168" fontId="27" fillId="0" borderId="3" xfId="0" applyNumberFormat="1" applyFont="1" applyFill="1" applyBorder="1" applyAlignment="1"/>
    <xf numFmtId="168" fontId="22" fillId="0" borderId="3" xfId="0" applyNumberFormat="1" applyFont="1" applyBorder="1"/>
    <xf numFmtId="168" fontId="9" fillId="0" borderId="3" xfId="0" applyNumberFormat="1" applyFont="1" applyBorder="1"/>
    <xf numFmtId="174" fontId="27" fillId="0" borderId="0" xfId="0" applyNumberFormat="1" applyFont="1"/>
    <xf numFmtId="168" fontId="15" fillId="0" borderId="11" xfId="0" applyNumberFormat="1" applyFont="1" applyBorder="1"/>
    <xf numFmtId="168" fontId="27" fillId="0" borderId="0" xfId="0" applyNumberFormat="1" applyFont="1"/>
    <xf numFmtId="168" fontId="27" fillId="0" borderId="3" xfId="0" applyNumberFormat="1" applyFont="1" applyBorder="1"/>
    <xf numFmtId="179" fontId="16" fillId="0" borderId="0" xfId="0" applyNumberFormat="1" applyFo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79" fontId="18" fillId="0" borderId="0" xfId="0" applyNumberFormat="1" applyFont="1"/>
    <xf numFmtId="180" fontId="6" fillId="0" borderId="0" xfId="0" applyNumberFormat="1" applyFont="1"/>
    <xf numFmtId="167" fontId="6" fillId="0" borderId="0" xfId="0" applyNumberFormat="1" applyFont="1" applyFill="1" applyBorder="1" applyAlignment="1"/>
    <xf numFmtId="167" fontId="6" fillId="0" borderId="0" xfId="0" applyNumberFormat="1" applyFont="1" applyAlignment="1">
      <alignment horizontal="right"/>
    </xf>
    <xf numFmtId="164" fontId="6" fillId="0" borderId="0" xfId="0" applyNumberFormat="1" applyFont="1"/>
    <xf numFmtId="179" fontId="0" fillId="0" borderId="0" xfId="0" applyNumberFormat="1"/>
    <xf numFmtId="171" fontId="0" fillId="0" borderId="3" xfId="0" applyNumberFormat="1" applyBorder="1"/>
    <xf numFmtId="170" fontId="1" fillId="0" borderId="0" xfId="0" applyNumberFormat="1" applyFont="1" applyBorder="1"/>
    <xf numFmtId="0" fontId="0" fillId="0" borderId="0" xfId="0" applyAlignment="1">
      <alignment horizontal="left" indent="1"/>
    </xf>
    <xf numFmtId="168" fontId="1" fillId="0" borderId="0" xfId="0" applyNumberFormat="1" applyFont="1"/>
    <xf numFmtId="174" fontId="1" fillId="0" borderId="0" xfId="0" applyNumberFormat="1" applyFont="1"/>
    <xf numFmtId="169" fontId="18" fillId="0" borderId="0" xfId="0" applyNumberFormat="1" applyFont="1" applyBorder="1"/>
    <xf numFmtId="0" fontId="0" fillId="0" borderId="0" xfId="0" applyNumberFormat="1" applyBorder="1"/>
    <xf numFmtId="175" fontId="18" fillId="0" borderId="0" xfId="0" applyNumberFormat="1" applyFont="1" applyBorder="1"/>
    <xf numFmtId="0" fontId="28" fillId="2" borderId="0" xfId="0" applyFont="1" applyFill="1" applyAlignment="1">
      <alignment horizontal="centerContinuous"/>
    </xf>
    <xf numFmtId="166" fontId="8" fillId="0" borderId="0" xfId="0" applyNumberFormat="1" applyFont="1" applyBorder="1"/>
    <xf numFmtId="0" fontId="0" fillId="0" borderId="0" xfId="0" applyAlignment="1"/>
    <xf numFmtId="176" fontId="6" fillId="0" borderId="0" xfId="0" applyNumberFormat="1" applyFont="1" applyBorder="1" applyAlignment="1">
      <alignment horizontal="center"/>
    </xf>
    <xf numFmtId="186" fontId="15" fillId="0" borderId="2" xfId="0" applyNumberFormat="1" applyFont="1" applyBorder="1" applyAlignment="1">
      <alignment horizontal="center"/>
    </xf>
    <xf numFmtId="0" fontId="15" fillId="0" borderId="0" xfId="0" applyNumberFormat="1" applyFont="1" applyBorder="1" applyAlignment="1">
      <alignment horizontal="centerContinuous"/>
    </xf>
    <xf numFmtId="186" fontId="15" fillId="0" borderId="2" xfId="0" applyNumberFormat="1" applyFont="1" applyBorder="1" applyAlignment="1">
      <alignment horizontal="centerContinuous"/>
    </xf>
    <xf numFmtId="0" fontId="15" fillId="0" borderId="0" xfId="0" applyNumberFormat="1" applyFont="1" applyBorder="1" applyAlignment="1">
      <alignment horizontal="left"/>
    </xf>
    <xf numFmtId="166" fontId="8" fillId="0" borderId="0" xfId="0" applyNumberFormat="1" applyFont="1"/>
    <xf numFmtId="166" fontId="9" fillId="0" borderId="0" xfId="0" applyNumberFormat="1" applyFont="1"/>
    <xf numFmtId="168" fontId="1" fillId="0" borderId="0" xfId="0" applyNumberFormat="1" applyFont="1" applyFill="1" applyBorder="1" applyAlignment="1"/>
    <xf numFmtId="187" fontId="0" fillId="0" borderId="0" xfId="0" applyNumberFormat="1"/>
    <xf numFmtId="0" fontId="6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9" fillId="0" borderId="0" xfId="0" applyFont="1" applyAlignment="1">
      <alignment vertical="top"/>
    </xf>
    <xf numFmtId="0" fontId="7" fillId="0" borderId="0" xfId="0" applyFont="1" applyAlignment="1">
      <alignment horizontal="center" vertical="top" wrapText="1"/>
    </xf>
    <xf numFmtId="168" fontId="6" fillId="0" borderId="0" xfId="0" applyNumberFormat="1" applyFont="1" applyFill="1" applyBorder="1" applyAlignment="1"/>
    <xf numFmtId="169" fontId="18" fillId="0" borderId="0" xfId="1" applyNumberFormat="1" applyFont="1"/>
    <xf numFmtId="170" fontId="1" fillId="0" borderId="0" xfId="0" applyNumberFormat="1" applyFont="1" applyFill="1" applyBorder="1" applyAlignment="1"/>
    <xf numFmtId="170" fontId="18" fillId="0" borderId="0" xfId="0" applyNumberFormat="1" applyFont="1" applyFill="1" applyBorder="1" applyAlignment="1"/>
    <xf numFmtId="168" fontId="29" fillId="0" borderId="11" xfId="0" applyNumberFormat="1" applyFont="1" applyBorder="1"/>
    <xf numFmtId="0" fontId="18" fillId="0" borderId="0" xfId="0" applyNumberFormat="1" applyFont="1"/>
    <xf numFmtId="176" fontId="6" fillId="0" borderId="0" xfId="0" applyNumberFormat="1" applyFont="1" applyAlignment="1">
      <alignment horizontal="center"/>
    </xf>
    <xf numFmtId="176" fontId="0" fillId="0" borderId="0" xfId="0" applyNumberFormat="1"/>
    <xf numFmtId="176" fontId="6" fillId="0" borderId="0" xfId="0" applyNumberFormat="1" applyFont="1" applyAlignment="1">
      <alignment horizontal="centerContinuous"/>
    </xf>
    <xf numFmtId="176" fontId="0" fillId="0" borderId="0" xfId="0" applyNumberFormat="1" applyAlignment="1">
      <alignment horizontal="centerContinuous"/>
    </xf>
    <xf numFmtId="176" fontId="18" fillId="0" borderId="0" xfId="0" applyNumberFormat="1" applyFont="1" applyAlignment="1">
      <alignment horizontal="center"/>
    </xf>
    <xf numFmtId="164" fontId="30" fillId="0" borderId="11" xfId="0" applyNumberFormat="1" applyFont="1" applyBorder="1"/>
    <xf numFmtId="169" fontId="15" fillId="0" borderId="11" xfId="0" applyNumberFormat="1" applyFont="1" applyBorder="1"/>
    <xf numFmtId="0" fontId="0" fillId="0" borderId="0" xfId="0" applyNumberFormat="1" applyFont="1" applyFill="1" applyBorder="1" applyAlignment="1" applyProtection="1">
      <alignment horizontal="left" indent="1"/>
    </xf>
    <xf numFmtId="167" fontId="8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Normal_Seevers_Clean Stub Long Form Model2" xfId="2"/>
  </cellStyles>
  <dxfs count="3">
    <dxf>
      <font>
        <i val="0"/>
        <condense val="0"/>
        <extend val="0"/>
        <color indexed="10"/>
      </font>
    </dxf>
    <dxf>
      <font>
        <i val="0"/>
        <condense val="0"/>
        <extend val="0"/>
        <color indexed="10"/>
      </font>
    </dxf>
    <dxf>
      <font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macabacus.com/free-trial?utm_source=macabacustemplate&amp;utm_medium=exceltemplate&amp;utm_campaign=macabacustemplate&amp;utm_content=financing-summary-v2.xlsx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91282</xdr:colOff>
      <xdr:row>2</xdr:row>
      <xdr:rowOff>11818</xdr:rowOff>
    </xdr:to>
    <xdr:pic>
      <xdr:nvPicPr>
        <xdr:cNvPr id="2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1391FC-3377-4B78-94D8-9377B0C4D9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166688"/>
          <a:ext cx="5556250" cy="75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220</xdr:row>
      <xdr:rowOff>0</xdr:rowOff>
    </xdr:from>
    <xdr:to>
      <xdr:col>14</xdr:col>
      <xdr:colOff>91282</xdr:colOff>
      <xdr:row>224</xdr:row>
      <xdr:rowOff>83255</xdr:rowOff>
    </xdr:to>
    <xdr:pic>
      <xdr:nvPicPr>
        <xdr:cNvPr id="3" name="Picture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FB58A1-682B-4E95-9660-0449A47CD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36627594"/>
          <a:ext cx="5556250" cy="750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Q217"/>
  <sheetViews>
    <sheetView showGridLines="0" tabSelected="1" zoomScale="80" workbookViewId="0">
      <selection activeCell="U224" sqref="U224"/>
    </sheetView>
  </sheetViews>
  <sheetFormatPr defaultRowHeight="13"/>
  <cols>
    <col min="1" max="2" width="1.7265625" customWidth="1"/>
    <col min="3" max="5" width="9.7265625" customWidth="1"/>
    <col min="6" max="6" width="1.7265625" customWidth="1"/>
    <col min="7" max="7" width="9.7265625" customWidth="1"/>
    <col min="8" max="8" width="1.7265625" customWidth="1"/>
    <col min="9" max="9" width="9.7265625" customWidth="1"/>
    <col min="10" max="10" width="1.7265625" customWidth="1"/>
    <col min="11" max="11" width="9.7265625" customWidth="1"/>
    <col min="12" max="12" width="1.7265625" customWidth="1"/>
    <col min="13" max="13" width="9.7265625" customWidth="1"/>
    <col min="14" max="14" width="1.7265625" customWidth="1"/>
    <col min="15" max="15" width="9.7265625" customWidth="1"/>
    <col min="16" max="16" width="1.7265625" customWidth="1"/>
    <col min="17" max="17" width="9.7265625" customWidth="1"/>
    <col min="18" max="18" width="1.7265625" customWidth="1"/>
    <col min="19" max="19" width="9.7265625" customWidth="1"/>
    <col min="20" max="20" width="1.726562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5" width="9.7265625" customWidth="1"/>
    <col min="26" max="26" width="1.7265625" customWidth="1"/>
    <col min="27" max="27" width="9.7265625" customWidth="1"/>
    <col min="28" max="28" width="1.7265625" customWidth="1"/>
    <col min="29" max="29" width="9.7265625" customWidth="1"/>
    <col min="30" max="30" width="1.7265625" customWidth="1"/>
    <col min="32" max="32" width="1.7265625" customWidth="1"/>
    <col min="34" max="34" width="1.7265625" customWidth="1"/>
    <col min="36" max="36" width="1.7265625" customWidth="1"/>
    <col min="37" max="37" width="9.7265625" customWidth="1"/>
    <col min="38" max="38" width="1.7265625" customWidth="1"/>
    <col min="39" max="39" width="9.7265625" customWidth="1"/>
    <col min="40" max="40" width="1.7265625" customWidth="1"/>
    <col min="42" max="42" width="1.7265625" customWidth="1"/>
  </cols>
  <sheetData>
    <row r="2" spans="1:43" ht="58" customHeight="1"/>
    <row r="4" spans="1:43" ht="24" customHeight="1" thickBot="1">
      <c r="A4" s="1" t="str">
        <f>AI9&amp;" LBO Valuation"</f>
        <v>TargetCo LBO Valuation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43" ht="13.75" thickBot="1">
      <c r="A5" s="3" t="s">
        <v>0</v>
      </c>
      <c r="AK5" s="20" t="s">
        <v>112</v>
      </c>
      <c r="AL5" s="21"/>
      <c r="AM5" s="20"/>
      <c r="AN5" s="21"/>
      <c r="AO5" s="21"/>
      <c r="AP5" s="21"/>
      <c r="AQ5" s="21"/>
    </row>
    <row r="6" spans="1:43">
      <c r="AM6" s="110" t="s">
        <v>113</v>
      </c>
      <c r="AO6" s="110" t="s">
        <v>114</v>
      </c>
      <c r="AQ6" s="110" t="s">
        <v>115</v>
      </c>
    </row>
    <row r="7" spans="1:43" ht="13.5" customHeight="1" thickBot="1">
      <c r="A7" s="4" t="s">
        <v>226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S7" s="4" t="s">
        <v>1</v>
      </c>
      <c r="T7" s="4"/>
      <c r="U7" s="4"/>
      <c r="V7" s="4"/>
      <c r="W7" s="4"/>
      <c r="X7" s="4"/>
      <c r="Y7" s="4"/>
      <c r="AA7" s="4" t="s">
        <v>13</v>
      </c>
      <c r="AB7" s="4"/>
      <c r="AC7" s="4"/>
      <c r="AD7" s="4"/>
      <c r="AE7" s="4"/>
      <c r="AF7" s="4"/>
      <c r="AG7" s="4"/>
      <c r="AH7" s="4"/>
      <c r="AI7" s="4"/>
      <c r="AK7" s="5"/>
      <c r="AL7" s="5"/>
      <c r="AM7" s="111" t="s">
        <v>116</v>
      </c>
      <c r="AN7" s="5"/>
      <c r="AO7" s="111" t="s">
        <v>117</v>
      </c>
      <c r="AP7" s="5"/>
      <c r="AQ7" s="111" t="s">
        <v>118</v>
      </c>
    </row>
    <row r="8" spans="1:43">
      <c r="AK8" t="s">
        <v>119</v>
      </c>
      <c r="AM8" s="71">
        <v>0.20899999999999999</v>
      </c>
      <c r="AO8" s="7">
        <v>9.0399999999999991</v>
      </c>
      <c r="AQ8" s="112">
        <f t="shared" ref="AQ8:AQ17" si="0">IF(AO8&gt;trans_price,0,AM8-AM8*AO8/trans_price)</f>
        <v>9.1007181889149108E-2</v>
      </c>
    </row>
    <row r="9" spans="1:43" ht="12.75" customHeight="1">
      <c r="I9" s="22" t="s">
        <v>227</v>
      </c>
      <c r="K9" s="22" t="s">
        <v>203</v>
      </c>
      <c r="M9" s="22" t="s">
        <v>228</v>
      </c>
      <c r="Q9" s="22" t="s">
        <v>233</v>
      </c>
      <c r="S9" t="s">
        <v>2</v>
      </c>
      <c r="Y9" s="7">
        <v>12.81</v>
      </c>
      <c r="AA9" t="s">
        <v>14</v>
      </c>
      <c r="AI9" s="15" t="s">
        <v>15</v>
      </c>
      <c r="AK9" t="s">
        <v>120</v>
      </c>
      <c r="AM9" s="71">
        <v>5.8999999999999997E-2</v>
      </c>
      <c r="AO9" s="113">
        <v>10.029999999999999</v>
      </c>
      <c r="AQ9" s="112">
        <f t="shared" si="0"/>
        <v>2.2043247462919593E-2</v>
      </c>
    </row>
    <row r="10" spans="1:43" s="6" customFormat="1" ht="13.5" customHeight="1" thickBot="1">
      <c r="G10" s="26" t="s">
        <v>229</v>
      </c>
      <c r="H10" s="5"/>
      <c r="I10" s="26" t="s">
        <v>230</v>
      </c>
      <c r="J10" s="5"/>
      <c r="K10" s="26" t="s">
        <v>30</v>
      </c>
      <c r="L10" s="5"/>
      <c r="M10" s="26" t="s">
        <v>231</v>
      </c>
      <c r="N10" s="5"/>
      <c r="O10" s="26" t="s">
        <v>232</v>
      </c>
      <c r="P10" s="5"/>
      <c r="Q10" s="26" t="s">
        <v>234</v>
      </c>
      <c r="S10" t="s">
        <v>3</v>
      </c>
      <c r="T10"/>
      <c r="U10"/>
      <c r="V10"/>
      <c r="W10"/>
      <c r="X10"/>
      <c r="Y10" s="9">
        <v>0.25</v>
      </c>
      <c r="AA10" t="s">
        <v>16</v>
      </c>
      <c r="AB10"/>
      <c r="AC10"/>
      <c r="AD10"/>
      <c r="AE10"/>
      <c r="AF10"/>
      <c r="AI10" s="15" t="s">
        <v>19</v>
      </c>
      <c r="AK10" t="s">
        <v>121</v>
      </c>
      <c r="AL10"/>
      <c r="AM10" s="71">
        <v>0.221</v>
      </c>
      <c r="AN10"/>
      <c r="AO10" s="113">
        <v>11.53</v>
      </c>
      <c r="AP10"/>
      <c r="AQ10" s="112">
        <f t="shared" si="0"/>
        <v>6.1866198282591711E-2</v>
      </c>
    </row>
    <row r="11" spans="1:43" ht="13.5" customHeight="1">
      <c r="A11" s="83" t="s">
        <v>206</v>
      </c>
      <c r="B11" s="83"/>
      <c r="S11" s="157" t="s">
        <v>4</v>
      </c>
      <c r="U11" s="5"/>
      <c r="V11" s="5"/>
      <c r="W11" s="5"/>
      <c r="X11" s="5"/>
      <c r="Y11" s="11">
        <f>Y9*(1+Y10)</f>
        <v>16.012499999999999</v>
      </c>
      <c r="AI11" s="15" t="s">
        <v>20</v>
      </c>
      <c r="AK11" t="s">
        <v>122</v>
      </c>
      <c r="AM11" s="71">
        <v>0.3</v>
      </c>
      <c r="AO11" s="113">
        <v>12.69</v>
      </c>
      <c r="AQ11" s="112">
        <f t="shared" si="0"/>
        <v>6.2248243559718974E-2</v>
      </c>
    </row>
    <row r="12" spans="1:43">
      <c r="B12" t="s">
        <v>208</v>
      </c>
      <c r="G12" s="76">
        <f ca="1">S160</f>
        <v>116.60599999999999</v>
      </c>
      <c r="I12" s="33">
        <f ca="1">G12/$G$31</f>
        <v>0.14303229720995186</v>
      </c>
      <c r="K12" s="145">
        <f ca="1">G12/ltm_ebitda</f>
        <v>0.96688225538971828</v>
      </c>
      <c r="M12" s="33"/>
      <c r="AA12" t="s">
        <v>17</v>
      </c>
      <c r="AG12" s="16">
        <f ca="1">NOW()</f>
        <v>45163.721480208333</v>
      </c>
      <c r="AI12" s="17">
        <f ca="1">NOW()</f>
        <v>45163.721480208333</v>
      </c>
      <c r="AK12" t="s">
        <v>123</v>
      </c>
      <c r="AM12" s="71">
        <v>0.26900000000000002</v>
      </c>
      <c r="AO12" s="113">
        <v>19.54</v>
      </c>
      <c r="AQ12" s="112">
        <f t="shared" si="0"/>
        <v>0</v>
      </c>
    </row>
    <row r="13" spans="1:43" s="10" customFormat="1" ht="13.5" customHeight="1">
      <c r="B13" s="5" t="s">
        <v>209</v>
      </c>
      <c r="G13" s="119">
        <f ca="1">S161</f>
        <v>230</v>
      </c>
      <c r="I13" s="33">
        <f ca="1">G13/$G$31</f>
        <v>0.28212466218109639</v>
      </c>
      <c r="K13" s="145">
        <f ca="1">G13/ltm_ebitda</f>
        <v>1.9071310116086242</v>
      </c>
      <c r="M13" s="33"/>
      <c r="S13" s="24" t="s">
        <v>143</v>
      </c>
      <c r="Y13" s="117">
        <f>AQ30</f>
        <v>35.159164871194378</v>
      </c>
      <c r="AA13" t="s">
        <v>18</v>
      </c>
      <c r="AB13"/>
      <c r="AC13" s="80" t="str">
        <f ca="1">CELL("filename")</f>
        <v>C:\Users\CelsoTrinidad\Downloads\[financing-summary-v2.xlsx]LBO</v>
      </c>
      <c r="AD13" s="80"/>
      <c r="AE13"/>
      <c r="AF13"/>
      <c r="AK13" t="s">
        <v>124</v>
      </c>
      <c r="AL13"/>
      <c r="AM13" s="71">
        <v>0.21099999999999999</v>
      </c>
      <c r="AN13"/>
      <c r="AO13" s="113">
        <v>27.06</v>
      </c>
      <c r="AP13"/>
      <c r="AQ13" s="112">
        <f t="shared" si="0"/>
        <v>0</v>
      </c>
    </row>
    <row r="14" spans="1:43" ht="12.75" customHeight="1">
      <c r="B14" t="s">
        <v>225</v>
      </c>
      <c r="G14" s="119">
        <f ca="1">S162</f>
        <v>0</v>
      </c>
      <c r="I14" s="33">
        <f ca="1">G14/$G$31</f>
        <v>0</v>
      </c>
      <c r="K14" s="145">
        <f ca="1">G14/ltm_ebitda</f>
        <v>0</v>
      </c>
      <c r="M14" s="158"/>
      <c r="S14" s="24" t="s">
        <v>144</v>
      </c>
      <c r="Y14" s="121">
        <f>Y13*Y11</f>
        <v>562.98612749999995</v>
      </c>
      <c r="AK14" t="s">
        <v>125</v>
      </c>
      <c r="AM14" s="71">
        <v>0.187</v>
      </c>
      <c r="AO14" s="113">
        <v>45.75</v>
      </c>
      <c r="AQ14" s="112">
        <f t="shared" si="0"/>
        <v>0</v>
      </c>
    </row>
    <row r="15" spans="1:43" ht="12.75" customHeight="1" thickBot="1">
      <c r="B15" t="s">
        <v>235</v>
      </c>
      <c r="I15" s="19"/>
      <c r="S15" s="6" t="s">
        <v>145</v>
      </c>
      <c r="Y15" s="122">
        <f>AQ37</f>
        <v>83.394000000000005</v>
      </c>
      <c r="AC15" s="6"/>
      <c r="AD15" s="6"/>
      <c r="AE15" s="6"/>
      <c r="AF15" s="6"/>
      <c r="AG15" s="6"/>
      <c r="AH15" s="6"/>
      <c r="AI15" s="6"/>
      <c r="AK15" t="s">
        <v>126</v>
      </c>
      <c r="AM15" s="71">
        <v>0</v>
      </c>
      <c r="AO15" s="113">
        <v>0</v>
      </c>
      <c r="AQ15" s="112">
        <f t="shared" si="0"/>
        <v>0</v>
      </c>
    </row>
    <row r="16" spans="1:43" ht="13.5" customHeight="1" thickBot="1">
      <c r="C16" t="str">
        <f>B163</f>
        <v>Revolver</v>
      </c>
      <c r="G16" s="37">
        <f ca="1">S163</f>
        <v>0</v>
      </c>
      <c r="I16" s="33">
        <f ca="1">G16/$G$31</f>
        <v>0</v>
      </c>
      <c r="K16" s="145">
        <f t="shared" ref="K16:K22" ca="1" si="1">G16/ltm_ebitda</f>
        <v>0</v>
      </c>
      <c r="S16" s="157" t="s">
        <v>146</v>
      </c>
      <c r="Y16" s="106">
        <f>SUM(Y14:Y15)</f>
        <v>646.38012749999996</v>
      </c>
      <c r="AC16" s="10"/>
      <c r="AD16" s="10"/>
      <c r="AE16" s="10"/>
      <c r="AF16" s="10"/>
      <c r="AG16" s="10"/>
      <c r="AH16" s="10"/>
      <c r="AI16" s="10"/>
      <c r="AK16" t="s">
        <v>127</v>
      </c>
      <c r="AM16" s="71">
        <v>0</v>
      </c>
      <c r="AO16" s="113">
        <v>0</v>
      </c>
      <c r="AQ16" s="112">
        <f t="shared" si="0"/>
        <v>0</v>
      </c>
    </row>
    <row r="17" spans="2:43" ht="13.5" customHeight="1" thickTop="1">
      <c r="C17" t="str">
        <f t="shared" ref="C17:C22" si="2">B164</f>
        <v>Term Loan - A</v>
      </c>
      <c r="G17" s="37">
        <f t="shared" ref="G17:G22" ca="1" si="3">S164</f>
        <v>150</v>
      </c>
      <c r="I17" s="33">
        <f ca="1">G17/$G$31</f>
        <v>0.18399434490071506</v>
      </c>
      <c r="K17" s="145">
        <f t="shared" ca="1" si="1"/>
        <v>1.2437810945273635</v>
      </c>
      <c r="AC17" s="10"/>
      <c r="AD17" s="10"/>
      <c r="AE17" s="10"/>
      <c r="AF17" s="10"/>
      <c r="AG17" s="10"/>
      <c r="AH17" s="10"/>
      <c r="AI17" s="10"/>
      <c r="AK17" s="5" t="s">
        <v>128</v>
      </c>
      <c r="AL17" s="5"/>
      <c r="AM17" s="71">
        <v>0</v>
      </c>
      <c r="AN17" s="5"/>
      <c r="AO17" s="113">
        <v>0</v>
      </c>
      <c r="AP17" s="5"/>
      <c r="AQ17" s="112">
        <f t="shared" si="0"/>
        <v>0</v>
      </c>
    </row>
    <row r="18" spans="2:43" ht="13.5" customHeight="1" thickBot="1">
      <c r="C18" t="str">
        <f t="shared" si="2"/>
        <v>Term Loan - B</v>
      </c>
      <c r="G18" s="37">
        <f t="shared" ca="1" si="3"/>
        <v>0</v>
      </c>
      <c r="I18" s="33">
        <f ca="1">G18/$G$31</f>
        <v>0</v>
      </c>
      <c r="K18" s="145">
        <f t="shared" ca="1" si="1"/>
        <v>0</v>
      </c>
      <c r="S18" s="20" t="s">
        <v>147</v>
      </c>
      <c r="T18" s="21"/>
      <c r="U18" s="20"/>
      <c r="V18" s="21"/>
      <c r="W18" s="21"/>
      <c r="X18" s="21"/>
      <c r="Y18" s="21"/>
      <c r="AC18" s="10"/>
      <c r="AD18" s="10"/>
      <c r="AE18" s="10"/>
      <c r="AF18" s="10"/>
      <c r="AG18" s="10"/>
      <c r="AH18" s="10"/>
      <c r="AI18" s="10"/>
      <c r="AP18" s="10"/>
      <c r="AQ18" s="10"/>
    </row>
    <row r="19" spans="2:43" ht="13.5" customHeight="1" thickBot="1">
      <c r="C19" t="str">
        <f t="shared" si="2"/>
        <v>Senior Note</v>
      </c>
      <c r="G19" s="37">
        <f t="shared" ca="1" si="3"/>
        <v>75</v>
      </c>
      <c r="I19" s="33">
        <f t="shared" ref="I19:I30" ca="1" si="4">G19/$G$31</f>
        <v>9.1997172450357531E-2</v>
      </c>
      <c r="K19" s="145">
        <f t="shared" ca="1" si="1"/>
        <v>0.62189054726368176</v>
      </c>
      <c r="W19" s="26" t="s">
        <v>148</v>
      </c>
      <c r="Y19" s="26" t="s">
        <v>149</v>
      </c>
      <c r="AC19" s="10"/>
      <c r="AD19" s="10"/>
      <c r="AE19" s="10"/>
      <c r="AF19" s="10"/>
      <c r="AG19" s="10"/>
      <c r="AH19" s="10"/>
      <c r="AI19" s="10"/>
      <c r="AK19" s="20" t="s">
        <v>129</v>
      </c>
      <c r="AL19" s="21"/>
      <c r="AM19" s="20"/>
      <c r="AN19" s="21"/>
      <c r="AO19" s="21"/>
      <c r="AP19" s="21"/>
      <c r="AQ19" s="21"/>
    </row>
    <row r="20" spans="2:43" ht="13.5" customHeight="1" thickBot="1">
      <c r="C20" t="str">
        <f t="shared" si="2"/>
        <v>Subordinated Note</v>
      </c>
      <c r="G20" s="37">
        <f t="shared" ca="1" si="3"/>
        <v>0</v>
      </c>
      <c r="I20" s="33">
        <f t="shared" ca="1" si="4"/>
        <v>0</v>
      </c>
      <c r="K20" s="145">
        <f t="shared" ca="1" si="1"/>
        <v>0</v>
      </c>
      <c r="S20" t="s">
        <v>150</v>
      </c>
      <c r="W20" s="121">
        <f>M53</f>
        <v>420.4</v>
      </c>
      <c r="Y20" s="123">
        <f>$Y$16/W20</f>
        <v>1.5375359835870599</v>
      </c>
      <c r="AC20" s="10"/>
      <c r="AD20" s="10"/>
      <c r="AE20" s="10"/>
      <c r="AF20" s="10"/>
      <c r="AG20" s="10"/>
      <c r="AH20" s="10"/>
      <c r="AI20" s="10"/>
      <c r="AO20" s="111" t="s">
        <v>130</v>
      </c>
      <c r="AQ20" s="111" t="s">
        <v>131</v>
      </c>
    </row>
    <row r="21" spans="2:43" ht="13.5" customHeight="1">
      <c r="C21" t="str">
        <f t="shared" si="2"/>
        <v>Mezzanine</v>
      </c>
      <c r="G21" s="37">
        <f t="shared" ca="1" si="3"/>
        <v>0</v>
      </c>
      <c r="I21" s="33">
        <f t="shared" ca="1" si="4"/>
        <v>0</v>
      </c>
      <c r="K21" s="145">
        <f t="shared" ca="1" si="1"/>
        <v>0</v>
      </c>
      <c r="S21" s="124" t="str">
        <f>"FY "&amp;Q51&amp;" PF Sales"</f>
        <v>FY 2008 PF Sales</v>
      </c>
      <c r="W21" s="122">
        <f ca="1">Q53</f>
        <v>458.09999999999997</v>
      </c>
      <c r="Y21" s="123">
        <f ca="1">$Y$16/W21</f>
        <v>1.4110022429600524</v>
      </c>
      <c r="AK21" t="s">
        <v>132</v>
      </c>
      <c r="AL21" s="10"/>
      <c r="AM21" s="10"/>
      <c r="AN21" s="10"/>
      <c r="AO21" s="77">
        <v>230</v>
      </c>
      <c r="AQ21" s="77">
        <v>0</v>
      </c>
    </row>
    <row r="22" spans="2:43" ht="13.5" customHeight="1">
      <c r="C22" t="str">
        <f t="shared" si="2"/>
        <v>Seller Note</v>
      </c>
      <c r="G22" s="37">
        <f t="shared" ca="1" si="3"/>
        <v>0</v>
      </c>
      <c r="I22" s="33">
        <f t="shared" ca="1" si="4"/>
        <v>0</v>
      </c>
      <c r="K22" s="145">
        <f t="shared" ca="1" si="1"/>
        <v>0</v>
      </c>
      <c r="S22" s="124" t="str">
        <f>"FY "&amp;S51&amp;" PF Sales"</f>
        <v>FY 2009 PF Sales</v>
      </c>
      <c r="W22" s="122">
        <f ca="1">S53</f>
        <v>467.99999999999994</v>
      </c>
      <c r="Y22" s="123">
        <f ca="1">$Y$16/W22</f>
        <v>1.3811541185897436</v>
      </c>
      <c r="AK22" t="s">
        <v>133</v>
      </c>
      <c r="AO22" s="114">
        <v>26.77</v>
      </c>
      <c r="AQ22" s="115" t="s">
        <v>24</v>
      </c>
    </row>
    <row r="23" spans="2:43" ht="13.5" customHeight="1">
      <c r="B23" t="s">
        <v>236</v>
      </c>
      <c r="I23" s="19"/>
      <c r="AK23" t="s">
        <v>134</v>
      </c>
      <c r="AO23" s="112">
        <f>IF(ISERROR(AO21/AO22),0,AO21/AO22)</f>
        <v>8.591707134852447</v>
      </c>
      <c r="AQ23" s="112">
        <f>IF(ISERROR(AQ21/AQ22),0,AQ21/AQ22)</f>
        <v>0</v>
      </c>
    </row>
    <row r="24" spans="2:43">
      <c r="C24" t="str">
        <f>B170</f>
        <v>Preferred Stock - A</v>
      </c>
      <c r="G24" s="37">
        <f ca="1">S170</f>
        <v>10</v>
      </c>
      <c r="I24" s="33">
        <f t="shared" ca="1" si="4"/>
        <v>1.2266289660047671E-2</v>
      </c>
      <c r="K24" s="145">
        <f ca="1">G24/ltm_ebitda</f>
        <v>8.2918739635157571E-2</v>
      </c>
      <c r="S24" t="s">
        <v>151</v>
      </c>
      <c r="W24" s="121">
        <f>ltm_ebitda</f>
        <v>120.59999999999997</v>
      </c>
      <c r="Y24" s="125">
        <f>$Y$16/W24</f>
        <v>5.3597025497512449</v>
      </c>
      <c r="AK24" t="s">
        <v>135</v>
      </c>
      <c r="AO24" s="116">
        <v>2.5000000000000001E-2</v>
      </c>
      <c r="AQ24" s="116">
        <v>0</v>
      </c>
    </row>
    <row r="25" spans="2:43">
      <c r="C25" t="str">
        <f>B171</f>
        <v>Preferred Stock - B</v>
      </c>
      <c r="G25" s="37">
        <f ca="1">S171</f>
        <v>0</v>
      </c>
      <c r="I25" s="33">
        <f t="shared" ca="1" si="4"/>
        <v>0</v>
      </c>
      <c r="K25" s="145">
        <f ca="1">G25/ltm_ebitda</f>
        <v>0</v>
      </c>
      <c r="S25" s="124" t="str">
        <f>"FY "&amp;Q51&amp;" PF EBITDA"</f>
        <v>FY 2008 PF EBITDA</v>
      </c>
      <c r="W25" s="122">
        <f ca="1">Q63</f>
        <v>130.19999999999999</v>
      </c>
      <c r="Y25" s="125">
        <f ca="1">$Y$16/W25</f>
        <v>4.9645171082949311</v>
      </c>
    </row>
    <row r="26" spans="2:43" ht="13.75" thickBot="1">
      <c r="B26" t="s">
        <v>237</v>
      </c>
      <c r="I26" s="19"/>
      <c r="S26" s="124" t="str">
        <f>"FY "&amp;S51&amp;" PF EBITDA"</f>
        <v>FY 2009 PF EBITDA</v>
      </c>
      <c r="W26" s="122">
        <f ca="1">S63</f>
        <v>156.5</v>
      </c>
      <c r="Y26" s="125">
        <f ca="1">$Y$16/W26</f>
        <v>4.1302244568690094</v>
      </c>
      <c r="AK26" s="20" t="s">
        <v>136</v>
      </c>
      <c r="AL26" s="21"/>
      <c r="AM26" s="20"/>
      <c r="AN26" s="21"/>
      <c r="AO26" s="21"/>
      <c r="AP26" s="21"/>
      <c r="AQ26" s="21"/>
    </row>
    <row r="27" spans="2:43">
      <c r="C27" t="str">
        <f>B172</f>
        <v>Common - Sponsor</v>
      </c>
      <c r="G27" s="37">
        <f ca="1">S172</f>
        <v>233.6364471574999</v>
      </c>
      <c r="I27" s="33">
        <f t="shared" ca="1" si="4"/>
        <v>0.2865852335978315</v>
      </c>
      <c r="K27" s="145">
        <f ca="1">G27/ltm_ebitda</f>
        <v>1.9372839731135985</v>
      </c>
      <c r="AK27" t="s">
        <v>137</v>
      </c>
      <c r="AQ27" s="71">
        <v>34.921999999999997</v>
      </c>
    </row>
    <row r="28" spans="2:43">
      <c r="C28" t="str">
        <f>B173</f>
        <v>Management Rollover</v>
      </c>
      <c r="G28" s="37">
        <f ca="1">S173</f>
        <v>0</v>
      </c>
      <c r="I28" s="33">
        <f t="shared" ca="1" si="4"/>
        <v>0</v>
      </c>
      <c r="K28" s="145">
        <f ca="1">G28/ltm_ebitda</f>
        <v>0</v>
      </c>
      <c r="M28" s="4" t="s">
        <v>152</v>
      </c>
      <c r="N28" s="126"/>
      <c r="O28" s="126"/>
      <c r="P28" s="126"/>
      <c r="Q28" s="126"/>
      <c r="S28" s="4" t="s">
        <v>60</v>
      </c>
      <c r="T28" s="4"/>
      <c r="U28" s="4"/>
      <c r="V28" s="4"/>
      <c r="W28" s="4"/>
      <c r="X28" s="4"/>
      <c r="Y28" s="4"/>
      <c r="AK28" t="s">
        <v>138</v>
      </c>
      <c r="AQ28" s="117">
        <f>SUM(AQ8:AQ17)</f>
        <v>0.2371648711943794</v>
      </c>
    </row>
    <row r="29" spans="2:43" ht="13.75" thickBot="1">
      <c r="C29" t="str">
        <f>B174</f>
        <v>Investor Rollover</v>
      </c>
      <c r="G29" s="37">
        <f ca="1">S174</f>
        <v>0</v>
      </c>
      <c r="I29" s="33">
        <f t="shared" ca="1" si="4"/>
        <v>0</v>
      </c>
      <c r="K29" s="145">
        <f ca="1">G29/ltm_ebitda</f>
        <v>0</v>
      </c>
      <c r="AK29" t="s">
        <v>139</v>
      </c>
      <c r="AQ29" s="117">
        <f>IF(AO22&gt;trans_price,0,AO23)+IF(AQ22&gt;trans_price,0,AQ23)</f>
        <v>0</v>
      </c>
    </row>
    <row r="30" spans="2:43" ht="13.75" thickBot="1">
      <c r="C30" t="str">
        <f>B175</f>
        <v>Other</v>
      </c>
      <c r="G30" s="37">
        <f ca="1">S175</f>
        <v>0</v>
      </c>
      <c r="I30" s="33">
        <f t="shared" ca="1" si="4"/>
        <v>0</v>
      </c>
      <c r="K30" s="145">
        <f ca="1">G30/ltm_ebitda</f>
        <v>0</v>
      </c>
      <c r="M30" t="s">
        <v>153</v>
      </c>
      <c r="Q30" s="127">
        <v>2.7799999999999998E-2</v>
      </c>
      <c r="S30" t="str">
        <f ca="1">"Operating Case: "&amp;B128</f>
        <v>Operating Case: Analyst Case</v>
      </c>
      <c r="Y30" s="89">
        <v>2</v>
      </c>
      <c r="AK30" s="120" t="s">
        <v>136</v>
      </c>
      <c r="AQ30" s="118">
        <f>SUM(AQ27:AQ29)</f>
        <v>35.159164871194378</v>
      </c>
    </row>
    <row r="31" spans="2:43" ht="13.75" thickBot="1">
      <c r="B31" s="10" t="s">
        <v>207</v>
      </c>
      <c r="G31" s="106">
        <f ca="1">SUM(G12:G30)</f>
        <v>815.2424471574999</v>
      </c>
      <c r="H31" s="10"/>
      <c r="I31" s="155">
        <f ca="1">SUM(I12:I30)</f>
        <v>1</v>
      </c>
      <c r="J31" s="10"/>
      <c r="K31" s="156">
        <f ca="1">SUM(K12:K30)</f>
        <v>6.7598876215381436</v>
      </c>
      <c r="M31" t="s">
        <v>154</v>
      </c>
      <c r="Q31" s="127">
        <v>4.4999999999999998E-2</v>
      </c>
    </row>
    <row r="32" spans="2:43" ht="14.5" thickTop="1" thickBot="1">
      <c r="M32" t="s">
        <v>155</v>
      </c>
      <c r="Q32" s="127">
        <v>0.02</v>
      </c>
      <c r="S32" t="s">
        <v>61</v>
      </c>
      <c r="Y32" s="77">
        <v>10</v>
      </c>
      <c r="AK32" s="20" t="s">
        <v>140</v>
      </c>
      <c r="AL32" s="21"/>
      <c r="AM32" s="21"/>
      <c r="AN32" s="21"/>
      <c r="AO32" s="21"/>
      <c r="AP32" s="21"/>
      <c r="AQ32" s="21"/>
    </row>
    <row r="33" spans="1:43" ht="13.75" thickBot="1">
      <c r="A33" s="83" t="s">
        <v>213</v>
      </c>
      <c r="B33" s="83"/>
      <c r="S33" t="s">
        <v>62</v>
      </c>
      <c r="Y33" s="91">
        <v>20</v>
      </c>
      <c r="AK33" s="24" t="s">
        <v>141</v>
      </c>
      <c r="AL33" s="10"/>
      <c r="AM33" s="10"/>
      <c r="AQ33" s="77">
        <v>0</v>
      </c>
    </row>
    <row r="34" spans="1:43">
      <c r="B34" t="s">
        <v>144</v>
      </c>
      <c r="M34" s="4" t="s">
        <v>156</v>
      </c>
      <c r="N34" s="126"/>
      <c r="O34" s="126"/>
      <c r="P34" s="126"/>
      <c r="Q34" s="126"/>
      <c r="T34" t="s">
        <v>63</v>
      </c>
      <c r="Y34" s="92">
        <f>SUM(Y32:Y33)</f>
        <v>30</v>
      </c>
      <c r="AK34" t="s">
        <v>129</v>
      </c>
      <c r="AQ34" s="119">
        <f>IF(AO22&gt;trans_price,AO21,0)+IF(AQ22&gt;trans_price,AQ21,0)</f>
        <v>230</v>
      </c>
    </row>
    <row r="35" spans="1:43">
      <c r="C35" t="s">
        <v>219</v>
      </c>
      <c r="G35" s="76">
        <f ca="1">S179</f>
        <v>562.98612749999995</v>
      </c>
      <c r="I35" s="33">
        <f ca="1">G35/$G$45</f>
        <v>0.69057509145035278</v>
      </c>
      <c r="K35" s="145">
        <f ca="1">G35/ltm_ebitda</f>
        <v>4.6682100124378119</v>
      </c>
      <c r="AK35" t="s">
        <v>39</v>
      </c>
      <c r="AQ35" s="54">
        <v>0</v>
      </c>
    </row>
    <row r="36" spans="1:43" ht="13.75" thickBot="1">
      <c r="C36" t="s">
        <v>212</v>
      </c>
      <c r="G36" s="37">
        <f ca="1">S180</f>
        <v>0</v>
      </c>
      <c r="I36" s="33">
        <f ca="1">G36/$G$45</f>
        <v>0</v>
      </c>
      <c r="K36" s="145">
        <f ca="1">G36/ltm_ebitda</f>
        <v>0</v>
      </c>
      <c r="M36" s="128" t="s">
        <v>157</v>
      </c>
      <c r="Q36" s="129">
        <v>0</v>
      </c>
      <c r="S36" s="4" t="s">
        <v>5</v>
      </c>
      <c r="T36" s="4"/>
      <c r="U36" s="4"/>
      <c r="V36" s="4"/>
      <c r="W36" s="4"/>
      <c r="X36" s="4"/>
      <c r="Y36" s="4"/>
      <c r="AK36" t="s">
        <v>142</v>
      </c>
      <c r="AQ36" s="119">
        <f>-I72</f>
        <v>-146.60599999999999</v>
      </c>
    </row>
    <row r="37" spans="1:43">
      <c r="B37" t="s">
        <v>238</v>
      </c>
      <c r="AK37" s="120" t="s">
        <v>140</v>
      </c>
      <c r="AQ37" s="92">
        <f>SUM(AQ33:AQ36)</f>
        <v>83.394000000000005</v>
      </c>
    </row>
    <row r="38" spans="1:43">
      <c r="C38" t="s">
        <v>220</v>
      </c>
      <c r="G38" s="37">
        <f ca="1">S181</f>
        <v>0</v>
      </c>
      <c r="I38" s="33">
        <f t="shared" ref="I38:I44" ca="1" si="5">G38/$G$45</f>
        <v>0</v>
      </c>
      <c r="K38" s="145">
        <f t="shared" ref="K38:K44" ca="1" si="6">G38/ltm_ebitda</f>
        <v>0</v>
      </c>
      <c r="M38" s="4" t="s">
        <v>158</v>
      </c>
      <c r="N38" s="126"/>
      <c r="O38" s="126"/>
      <c r="P38" s="126"/>
      <c r="Q38" s="126"/>
      <c r="S38" s="8" t="s">
        <v>6</v>
      </c>
      <c r="Y38" s="13">
        <v>39355</v>
      </c>
    </row>
    <row r="39" spans="1:43">
      <c r="C39" t="s">
        <v>221</v>
      </c>
      <c r="G39" s="37">
        <f ca="1">S182</f>
        <v>230</v>
      </c>
      <c r="I39" s="33">
        <f t="shared" ca="1" si="5"/>
        <v>0.28212466218109639</v>
      </c>
      <c r="K39" s="145">
        <f t="shared" ca="1" si="6"/>
        <v>1.9071310116086242</v>
      </c>
      <c r="S39" s="8" t="s">
        <v>7</v>
      </c>
      <c r="Y39" s="13">
        <v>39538</v>
      </c>
    </row>
    <row r="40" spans="1:43">
      <c r="C40" t="s">
        <v>214</v>
      </c>
      <c r="G40" s="37">
        <f ca="1">S183</f>
        <v>0</v>
      </c>
      <c r="I40" s="33">
        <f t="shared" ca="1" si="5"/>
        <v>0</v>
      </c>
      <c r="K40" s="145">
        <f t="shared" ca="1" si="6"/>
        <v>0</v>
      </c>
      <c r="M40" s="128" t="s">
        <v>159</v>
      </c>
      <c r="Q40" s="77">
        <v>30</v>
      </c>
      <c r="S40" s="8" t="s">
        <v>8</v>
      </c>
      <c r="Y40" s="13">
        <v>39585</v>
      </c>
    </row>
    <row r="41" spans="1:43">
      <c r="C41" t="s">
        <v>240</v>
      </c>
      <c r="G41" s="37">
        <f ca="1">S185</f>
        <v>0</v>
      </c>
      <c r="I41" s="33">
        <f t="shared" ca="1" si="5"/>
        <v>0</v>
      </c>
      <c r="K41" s="145">
        <f t="shared" ca="1" si="6"/>
        <v>0</v>
      </c>
      <c r="M41" s="128" t="s">
        <v>160</v>
      </c>
      <c r="Q41" s="77">
        <v>100</v>
      </c>
      <c r="S41" s="8" t="s">
        <v>9</v>
      </c>
      <c r="Y41" s="13">
        <v>39660</v>
      </c>
    </row>
    <row r="42" spans="1:43">
      <c r="C42" t="s">
        <v>241</v>
      </c>
      <c r="G42" s="37">
        <f ca="1">S186</f>
        <v>0</v>
      </c>
      <c r="I42" s="33">
        <f t="shared" ca="1" si="5"/>
        <v>0</v>
      </c>
      <c r="K42" s="145">
        <f t="shared" ca="1" si="6"/>
        <v>0</v>
      </c>
      <c r="S42" s="8" t="s">
        <v>10</v>
      </c>
      <c r="Y42" s="14">
        <f>ROUND((MONTH(Y39)-MONTH(Y38)+12*(YEAR(Y39)-YEAR(Y38))),0)</f>
        <v>6</v>
      </c>
    </row>
    <row r="43" spans="1:43">
      <c r="C43" t="s">
        <v>239</v>
      </c>
      <c r="G43" s="37">
        <f ca="1">SUM(S187:S188)</f>
        <v>22.256319657500001</v>
      </c>
      <c r="I43" s="33">
        <f t="shared" ca="1" si="5"/>
        <v>2.7300246368550791E-2</v>
      </c>
      <c r="K43" s="145">
        <f t="shared" ca="1" si="6"/>
        <v>0.18454659749170818</v>
      </c>
      <c r="M43" s="4" t="s">
        <v>161</v>
      </c>
      <c r="N43" s="126"/>
      <c r="O43" s="126"/>
      <c r="P43" s="126"/>
      <c r="Q43" s="126"/>
      <c r="S43" s="8" t="s">
        <v>11</v>
      </c>
      <c r="Y43" s="14">
        <f>ROUND((MONTH(Y38)-MONTH(Y41)+12*(YEAR(Y38)+1-YEAR(Y41))),0)</f>
        <v>2</v>
      </c>
    </row>
    <row r="44" spans="1:43" ht="13.75" thickBot="1">
      <c r="C44" t="s">
        <v>66</v>
      </c>
      <c r="G44" s="37">
        <f ca="1">S189</f>
        <v>0</v>
      </c>
      <c r="I44" s="33">
        <f t="shared" ca="1" si="5"/>
        <v>0</v>
      </c>
      <c r="K44" s="145">
        <f t="shared" ca="1" si="6"/>
        <v>0</v>
      </c>
      <c r="S44" s="157" t="s">
        <v>12</v>
      </c>
      <c r="Y44" s="12">
        <f>Y43/12</f>
        <v>0.16666666666666666</v>
      </c>
    </row>
    <row r="45" spans="1:43" ht="13.75" thickBot="1">
      <c r="B45" s="10" t="s">
        <v>217</v>
      </c>
      <c r="G45" s="106">
        <f ca="1">SUM(G35:G44)</f>
        <v>815.24244715750001</v>
      </c>
      <c r="H45" s="10"/>
      <c r="I45" s="155">
        <f ca="1">SUM(I35:I44)</f>
        <v>1</v>
      </c>
      <c r="J45" s="10"/>
      <c r="K45" s="156">
        <f ca="1">SUM(K35:K44)</f>
        <v>6.7598876215381436</v>
      </c>
      <c r="M45" t="s">
        <v>162</v>
      </c>
      <c r="Q45" s="89">
        <v>4</v>
      </c>
    </row>
    <row r="46" spans="1:43" ht="13.75" thickTop="1"/>
    <row r="47" spans="1:43" ht="13.5" customHeight="1" thickBot="1">
      <c r="A47" s="4" t="s">
        <v>64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K47" s="20" t="s">
        <v>67</v>
      </c>
      <c r="AL47" s="20"/>
      <c r="AM47" s="20"/>
    </row>
    <row r="48" spans="1:43">
      <c r="A48" s="3" t="str">
        <f>$A$5</f>
        <v>($ in millions, except per share data)</v>
      </c>
      <c r="AK48" s="22" t="str">
        <f>Y42&amp;" Mos."</f>
        <v>6 Mos.</v>
      </c>
      <c r="AM48" s="22" t="str">
        <f>AK48</f>
        <v>6 Mos.</v>
      </c>
    </row>
    <row r="49" spans="1:39" ht="13.75" thickBot="1">
      <c r="M49" s="22" t="s">
        <v>69</v>
      </c>
      <c r="O49" s="22" t="str">
        <f>Y43&amp;" Mos."</f>
        <v>2 Mos.</v>
      </c>
      <c r="Q49" s="20" t="str">
        <f>Q120</f>
        <v>Projected Fiscal Years Ending September 30,</v>
      </c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K49" s="22" t="s">
        <v>68</v>
      </c>
      <c r="AM49" s="22" t="str">
        <f>AK49</f>
        <v>Ended</v>
      </c>
    </row>
    <row r="50" spans="1:39">
      <c r="K50" s="81">
        <f>Q50-1</f>
        <v>0</v>
      </c>
      <c r="M50" s="22" t="s">
        <v>68</v>
      </c>
      <c r="O50" s="22" t="s">
        <v>242</v>
      </c>
      <c r="Q50" s="81">
        <f>Q121</f>
        <v>1</v>
      </c>
      <c r="S50" s="81">
        <f>S121</f>
        <v>2</v>
      </c>
      <c r="U50" s="81">
        <f>U121</f>
        <v>3</v>
      </c>
      <c r="W50" s="81">
        <f>W121</f>
        <v>4</v>
      </c>
      <c r="Y50" s="81">
        <f>Y121</f>
        <v>5</v>
      </c>
      <c r="AA50" s="81">
        <f>AA121</f>
        <v>6</v>
      </c>
      <c r="AC50" s="81">
        <f>AC121</f>
        <v>7</v>
      </c>
      <c r="AE50" s="81">
        <f>AE121</f>
        <v>8</v>
      </c>
      <c r="AG50" s="81">
        <f>AG121</f>
        <v>9</v>
      </c>
      <c r="AI50" s="81">
        <f>AI121</f>
        <v>10</v>
      </c>
      <c r="AK50" s="22" t="str">
        <f>TEXT(ltm_date,"mmm d")</f>
        <v>Mar 31</v>
      </c>
      <c r="AL50" s="6"/>
      <c r="AM50" s="22" t="str">
        <f>AK50</f>
        <v>Mar 31</v>
      </c>
    </row>
    <row r="51" spans="1:39" ht="13.75" thickBot="1">
      <c r="K51" s="82">
        <f>Q51-1</f>
        <v>2007</v>
      </c>
      <c r="M51" s="99">
        <f>ltm_date</f>
        <v>39538</v>
      </c>
      <c r="O51" s="97" t="str">
        <f>MONTH(fye)&amp;"/"&amp;DAY(fye)&amp;"/"&amp;YEAR(fye)+1</f>
        <v>9/30/2008</v>
      </c>
      <c r="Q51" s="82">
        <f>Q122</f>
        <v>2008</v>
      </c>
      <c r="S51" s="82">
        <f>S122</f>
        <v>2009</v>
      </c>
      <c r="U51" s="82">
        <f>U122</f>
        <v>2010</v>
      </c>
      <c r="W51" s="82">
        <f>W122</f>
        <v>2011</v>
      </c>
      <c r="Y51" s="82">
        <f>Y122</f>
        <v>2012</v>
      </c>
      <c r="AA51" s="82">
        <f>AA122</f>
        <v>2013</v>
      </c>
      <c r="AC51" s="82">
        <f>AC122</f>
        <v>2014</v>
      </c>
      <c r="AE51" s="82">
        <f>AE122</f>
        <v>2015</v>
      </c>
      <c r="AG51" s="82">
        <f>AG122</f>
        <v>2016</v>
      </c>
      <c r="AI51" s="82">
        <f>AI122</f>
        <v>2017</v>
      </c>
      <c r="AK51" s="97">
        <f>AM51-1</f>
        <v>2007</v>
      </c>
      <c r="AM51" s="97" t="str">
        <f>TEXT(ltm_date,"YYYY")</f>
        <v>2008</v>
      </c>
    </row>
    <row r="53" spans="1:39">
      <c r="A53" s="10" t="s">
        <v>65</v>
      </c>
      <c r="B53" s="10"/>
      <c r="K53" s="93">
        <f>'Target P&amp;L'!K7</f>
        <v>402.5</v>
      </c>
      <c r="M53" s="30">
        <f>K53+AM53-AK53</f>
        <v>420.4</v>
      </c>
      <c r="O53" s="30">
        <f ca="1">Q53*stub</f>
        <v>76.349999999999994</v>
      </c>
      <c r="Q53" s="30">
        <f ca="1">K53*(1+Q54)</f>
        <v>458.09999999999997</v>
      </c>
      <c r="S53" s="30">
        <f ca="1">Q53*(1+S54)</f>
        <v>467.99999999999994</v>
      </c>
      <c r="U53" s="30">
        <f ca="1">S53*(1+U54)</f>
        <v>470.49999999999994</v>
      </c>
      <c r="W53" s="30">
        <f ca="1">U53*(1+W54)</f>
        <v>475.20499999999993</v>
      </c>
      <c r="Y53" s="30">
        <f ca="1">W53*(1+Y54)</f>
        <v>479.95704999999992</v>
      </c>
      <c r="AA53" s="30">
        <f ca="1">Y53*(1+AA54)</f>
        <v>484.75662049999994</v>
      </c>
      <c r="AC53" s="30">
        <f ca="1">AA53*(1+AC54)</f>
        <v>489.60418670499996</v>
      </c>
      <c r="AE53" s="30">
        <f ca="1">AC53*(1+AE54)</f>
        <v>494.50022857204999</v>
      </c>
      <c r="AG53" s="30">
        <f ca="1">AE53*(1+AG54)</f>
        <v>499.44523085777047</v>
      </c>
      <c r="AI53" s="30">
        <f ca="1">AG53*(1+AI54)</f>
        <v>504.43968316634817</v>
      </c>
      <c r="AK53" s="31">
        <v>197.4</v>
      </c>
      <c r="AL53" s="10"/>
      <c r="AM53" s="31">
        <v>215.3</v>
      </c>
    </row>
    <row r="54" spans="1:39">
      <c r="A54" s="19"/>
      <c r="B54" s="19" t="s">
        <v>23</v>
      </c>
      <c r="K54" s="85">
        <f>'Target P&amp;L'!I8</f>
        <v>2.6968716289104577E-2</v>
      </c>
      <c r="M54" s="98" t="s">
        <v>24</v>
      </c>
      <c r="O54" s="98" t="s">
        <v>24</v>
      </c>
      <c r="Q54" s="67">
        <f ca="1">Q128</f>
        <v>0.1381366459627329</v>
      </c>
      <c r="S54" s="67">
        <f ca="1">S128</f>
        <v>2.16110019646365E-2</v>
      </c>
      <c r="U54" s="67">
        <f ca="1">U128</f>
        <v>5.3418803418803229E-3</v>
      </c>
      <c r="W54" s="67">
        <f ca="1">W128</f>
        <v>0.01</v>
      </c>
      <c r="Y54" s="67">
        <f ca="1">Y128</f>
        <v>0.01</v>
      </c>
      <c r="AA54" s="67">
        <f ca="1">AA128</f>
        <v>0.01</v>
      </c>
      <c r="AC54" s="67">
        <f ca="1">AC128</f>
        <v>0.01</v>
      </c>
      <c r="AE54" s="67">
        <f ca="1">AE128</f>
        <v>0.01</v>
      </c>
      <c r="AG54" s="67">
        <f ca="1">AG128</f>
        <v>0.01</v>
      </c>
      <c r="AI54" s="67">
        <f ca="1">AI128</f>
        <v>0.01</v>
      </c>
      <c r="AK54" s="98" t="s">
        <v>24</v>
      </c>
      <c r="AM54" s="33">
        <f>AM53/AK53-1</f>
        <v>9.0678824721377893E-2</v>
      </c>
    </row>
    <row r="55" spans="1:39" ht="5.15" customHeight="1">
      <c r="A55" s="19"/>
      <c r="B55" s="19"/>
    </row>
    <row r="56" spans="1:39">
      <c r="A56" t="s">
        <v>25</v>
      </c>
      <c r="K56" s="96">
        <f>'Target P&amp;L'!K10</f>
        <v>207.7</v>
      </c>
      <c r="M56" s="94">
        <f>K56+AM56-AK56</f>
        <v>219.3</v>
      </c>
      <c r="O56" s="94">
        <f ca="1">Q56*stub</f>
        <v>39.93333333333333</v>
      </c>
      <c r="Q56" s="94">
        <f ca="1">Q57*Q$53</f>
        <v>239.6</v>
      </c>
      <c r="S56" s="94">
        <f ca="1">S57*S$53</f>
        <v>239.79999999999995</v>
      </c>
      <c r="U56" s="94">
        <f ca="1">U57*U$53</f>
        <v>242.19999999999993</v>
      </c>
      <c r="W56" s="94">
        <f ca="1">W57*W$53</f>
        <v>244.72199999999995</v>
      </c>
      <c r="Y56" s="94">
        <f ca="1">Y57*Y$53</f>
        <v>247.26921999999996</v>
      </c>
      <c r="AA56" s="94">
        <f ca="1">AA57*AA$53</f>
        <v>249.84191219999994</v>
      </c>
      <c r="AC56" s="94">
        <f ca="1">AC57*AC$53</f>
        <v>252.44033132199996</v>
      </c>
      <c r="AE56" s="94">
        <f ca="1">AE57*AE$53</f>
        <v>255.06473463521996</v>
      </c>
      <c r="AG56" s="94">
        <f ca="1">AG57*AG$53</f>
        <v>257.71538198157214</v>
      </c>
      <c r="AI56" s="94">
        <f ca="1">AI57*AI$53</f>
        <v>260.39253580138791</v>
      </c>
      <c r="AK56" s="38">
        <v>100.8</v>
      </c>
      <c r="AM56" s="38">
        <v>112.4</v>
      </c>
    </row>
    <row r="57" spans="1:39">
      <c r="A57" s="67"/>
      <c r="B57" s="67" t="s">
        <v>26</v>
      </c>
      <c r="K57" s="67">
        <f>K56/K$53</f>
        <v>0.51602484472049681</v>
      </c>
      <c r="M57" s="67">
        <f>M56/M$53</f>
        <v>0.52164605137963849</v>
      </c>
      <c r="O57" s="67">
        <f ca="1">O56/O$53</f>
        <v>0.52302990613403189</v>
      </c>
      <c r="Q57" s="67">
        <f ca="1">Q135</f>
        <v>0.52302990613403189</v>
      </c>
      <c r="S57" s="67">
        <f ca="1">(S135*S53-$Y$32)/S53</f>
        <v>0.51239316239316235</v>
      </c>
      <c r="U57" s="67">
        <f ca="1">(U135*U53-$Y$32)/U53</f>
        <v>0.51477151965993617</v>
      </c>
      <c r="W57" s="67">
        <f ca="1">(W135*W53-$Y$32)/W53</f>
        <v>0.51498195515619571</v>
      </c>
      <c r="Y57" s="67">
        <f ca="1">(Y135*Y53-$Y$32)/Y53</f>
        <v>0.51519030713269032</v>
      </c>
      <c r="AA57" s="67">
        <f ca="1">(AA135*AA53-$Y$32)/AA53</f>
        <v>0.51539659621832845</v>
      </c>
      <c r="AC57" s="67">
        <f ca="1">(AC135*AC53-$Y$32)/AC53</f>
        <v>0.51560084283777219</v>
      </c>
      <c r="AE57" s="67">
        <f ca="1">(AE135*AE53-$Y$32)/AE53</f>
        <v>0.51580306721345903</v>
      </c>
      <c r="AG57" s="67">
        <f ca="1">(AG135*AG53-$Y$32)/AG53</f>
        <v>0.51600328936760442</v>
      </c>
      <c r="AI57" s="67">
        <f ca="1">(AI135*AI53-$Y$32)/AI53</f>
        <v>0.51620152912418416</v>
      </c>
      <c r="AK57" s="33">
        <f>AK56/AK$53</f>
        <v>0.51063829787234039</v>
      </c>
      <c r="AM57" s="33">
        <f>AM56/AM$53</f>
        <v>0.52206223873664659</v>
      </c>
    </row>
    <row r="58" spans="1:39">
      <c r="A58" t="s">
        <v>29</v>
      </c>
      <c r="K58" s="96">
        <f>'Target P&amp;L'!K15</f>
        <v>74.8</v>
      </c>
      <c r="M58" s="94">
        <f>K58+AM58-AK58</f>
        <v>80.5</v>
      </c>
      <c r="O58" s="94">
        <f ca="1">Q58*stub</f>
        <v>14.716666666666663</v>
      </c>
      <c r="Q58" s="94">
        <f ca="1">Q59*Q$53</f>
        <v>88.299999999999983</v>
      </c>
      <c r="S58" s="94">
        <f ca="1">S59*S$53</f>
        <v>71.699999999999989</v>
      </c>
      <c r="U58" s="94">
        <f ca="1">U59*U$53</f>
        <v>72.399999999999991</v>
      </c>
      <c r="W58" s="94">
        <f ca="1">W59*W$53</f>
        <v>73.323999999999984</v>
      </c>
      <c r="Y58" s="94">
        <f ca="1">Y59*Y$53</f>
        <v>74.257239999999982</v>
      </c>
      <c r="AA58" s="94">
        <f ca="1">AA59*AA$53</f>
        <v>75.199812399999985</v>
      </c>
      <c r="AC58" s="94">
        <f ca="1">AC59*AC$53</f>
        <v>76.151810523999998</v>
      </c>
      <c r="AE58" s="94">
        <f ca="1">AE59*AE$53</f>
        <v>77.113328629240002</v>
      </c>
      <c r="AG58" s="94">
        <f ca="1">AG59*AG$53</f>
        <v>78.084461915532401</v>
      </c>
      <c r="AI58" s="94">
        <f ca="1">AI59*AI$53</f>
        <v>79.065306534687721</v>
      </c>
      <c r="AK58" s="38">
        <v>35.5</v>
      </c>
      <c r="AM58" s="38">
        <v>41.2</v>
      </c>
    </row>
    <row r="59" spans="1:39">
      <c r="A59" s="67"/>
      <c r="B59" s="67" t="s">
        <v>26</v>
      </c>
      <c r="K59" s="67">
        <f>K58/K$53</f>
        <v>0.18583850931677018</v>
      </c>
      <c r="M59" s="67">
        <f>M58/M$53</f>
        <v>0.19148430066603236</v>
      </c>
      <c r="O59" s="67">
        <f ca="1">O58/O$53</f>
        <v>0.1927526740886269</v>
      </c>
      <c r="Q59" s="67">
        <f ca="1">Q142</f>
        <v>0.19275267408862692</v>
      </c>
      <c r="S59" s="67">
        <f ca="1">(S142*S53-$Y$33)/S53</f>
        <v>0.15320512820512819</v>
      </c>
      <c r="U59" s="67">
        <f ca="1">(U142*U53-$Y$33)/U53</f>
        <v>0.15387885228480341</v>
      </c>
      <c r="W59" s="67">
        <f ca="1">(W142*W53-$Y$33)/W53</f>
        <v>0.15429972327732241</v>
      </c>
      <c r="Y59" s="67">
        <f ca="1">(Y142*Y53-$Y$33)/Y53</f>
        <v>0.15471642723031154</v>
      </c>
      <c r="AA59" s="67">
        <f ca="1">(AA142*AA53-$Y$33)/AA53</f>
        <v>0.15512900540158789</v>
      </c>
      <c r="AC59" s="67">
        <f ca="1">(AC142*AC53-$Y$33)/AC53</f>
        <v>0.15553749864047542</v>
      </c>
      <c r="AE59" s="67">
        <f ca="1">(AE142*AE53-$Y$33)/AE53</f>
        <v>0.15594194739184916</v>
      </c>
      <c r="AG59" s="67">
        <f ca="1">(AG142*AG53-$Y$33)/AG53</f>
        <v>0.15634239170014</v>
      </c>
      <c r="AI59" s="67">
        <f ca="1">(AI142*AI53-$Y$33)/AI53</f>
        <v>0.15673887121329924</v>
      </c>
      <c r="AK59" s="33">
        <f>AK58/AK$53</f>
        <v>0.17983789260385005</v>
      </c>
      <c r="AM59" s="33">
        <f>AM58/AM$53</f>
        <v>0.19136089177891316</v>
      </c>
    </row>
    <row r="60" spans="1:39">
      <c r="A60" t="s">
        <v>66</v>
      </c>
      <c r="K60" s="38">
        <v>0</v>
      </c>
      <c r="M60" s="94">
        <f>K60+AM60-AK60</f>
        <v>0</v>
      </c>
      <c r="O60" s="94">
        <f ca="1">Q60*stub</f>
        <v>0</v>
      </c>
      <c r="Q60" s="94">
        <f ca="1">Q61*Q$53</f>
        <v>0</v>
      </c>
      <c r="S60" s="94">
        <f ca="1">S61*S$53</f>
        <v>0</v>
      </c>
      <c r="U60" s="94">
        <f ca="1">U61*U$53</f>
        <v>0</v>
      </c>
      <c r="W60" s="94">
        <f ca="1">W61*W$53</f>
        <v>0</v>
      </c>
      <c r="Y60" s="94">
        <f ca="1">Y61*Y$53</f>
        <v>0</v>
      </c>
      <c r="AA60" s="94">
        <f ca="1">AA61*AA$53</f>
        <v>0</v>
      </c>
      <c r="AC60" s="94">
        <f ca="1">AC61*AC$53</f>
        <v>0</v>
      </c>
      <c r="AE60" s="94">
        <f ca="1">AE61*AE$53</f>
        <v>0</v>
      </c>
      <c r="AG60" s="94">
        <f ca="1">AG61*AG$53</f>
        <v>0</v>
      </c>
      <c r="AI60" s="94">
        <f ca="1">AI61*AI$53</f>
        <v>0</v>
      </c>
      <c r="AK60" s="38">
        <v>0</v>
      </c>
      <c r="AM60" s="38">
        <v>0</v>
      </c>
    </row>
    <row r="61" spans="1:39">
      <c r="A61" s="67"/>
      <c r="B61" s="67" t="s">
        <v>26</v>
      </c>
      <c r="K61" s="67">
        <f>K60/K$53</f>
        <v>0</v>
      </c>
      <c r="M61" s="67">
        <f>M60/M$53</f>
        <v>0</v>
      </c>
      <c r="O61" s="67">
        <f ca="1">O60/O$53</f>
        <v>0</v>
      </c>
      <c r="Q61" s="67">
        <f ca="1">Q149</f>
        <v>0</v>
      </c>
      <c r="S61" s="67">
        <f ca="1">S149</f>
        <v>0</v>
      </c>
      <c r="U61" s="67">
        <f ca="1">U149</f>
        <v>0</v>
      </c>
      <c r="W61" s="67">
        <f ca="1">W149</f>
        <v>0</v>
      </c>
      <c r="Y61" s="67">
        <f ca="1">Y149</f>
        <v>0</v>
      </c>
      <c r="AA61" s="67">
        <f ca="1">AA149</f>
        <v>0</v>
      </c>
      <c r="AC61" s="67">
        <f ca="1">AC149</f>
        <v>0</v>
      </c>
      <c r="AE61" s="67">
        <f ca="1">AE149</f>
        <v>0</v>
      </c>
      <c r="AG61" s="67">
        <f ca="1">AG149</f>
        <v>0</v>
      </c>
      <c r="AI61" s="67">
        <f ca="1">AI149</f>
        <v>0</v>
      </c>
      <c r="AK61" s="33">
        <f>AK60/AK$53</f>
        <v>0</v>
      </c>
      <c r="AM61" s="33">
        <f>AM60/AM$53</f>
        <v>0</v>
      </c>
    </row>
    <row r="62" spans="1:39" ht="5.15" customHeight="1" thickBot="1">
      <c r="A62" s="67"/>
      <c r="B62" s="67"/>
    </row>
    <row r="63" spans="1:39">
      <c r="A63" s="10" t="s">
        <v>30</v>
      </c>
      <c r="B63" s="10"/>
      <c r="K63" s="95">
        <f>K53-K56-K58-K60</f>
        <v>120.00000000000001</v>
      </c>
      <c r="M63" s="95">
        <f>M53-M56-M58-M60</f>
        <v>120.59999999999997</v>
      </c>
      <c r="O63" s="95">
        <f ca="1">O53-O56-O58-O60</f>
        <v>21.700000000000003</v>
      </c>
      <c r="Q63" s="95">
        <f ca="1">Q53-Q56-Q58-Q60</f>
        <v>130.19999999999999</v>
      </c>
      <c r="S63" s="95">
        <f ca="1">S53-S56-S58-S60</f>
        <v>156.5</v>
      </c>
      <c r="U63" s="95">
        <f ca="1">U53-U56-U58-U60</f>
        <v>155.90000000000003</v>
      </c>
      <c r="W63" s="95">
        <f ca="1">W53-W56-W58-W60</f>
        <v>157.15899999999999</v>
      </c>
      <c r="Y63" s="95">
        <f ca="1">Y53-Y56-Y58-Y60</f>
        <v>158.43059</v>
      </c>
      <c r="AA63" s="95">
        <f ca="1">AA53-AA56-AA58-AA60</f>
        <v>159.71489590000002</v>
      </c>
      <c r="AC63" s="95">
        <f ca="1">AC53-AC56-AC58-AC60</f>
        <v>161.01204485900001</v>
      </c>
      <c r="AE63" s="95">
        <f ca="1">AE53-AE56-AE58-AE60</f>
        <v>162.32216530759001</v>
      </c>
      <c r="AG63" s="95">
        <f ca="1">AG53-AG56-AG58-AG60</f>
        <v>163.64538696066592</v>
      </c>
      <c r="AI63" s="95">
        <f ca="1">AI53-AI56-AI58-AI60</f>
        <v>164.98184083027255</v>
      </c>
      <c r="AK63" s="95">
        <f>AK53-AK56-AK58-AK60</f>
        <v>61.100000000000009</v>
      </c>
      <c r="AL63" s="10"/>
      <c r="AM63" s="95">
        <f>AM53-AM56-AM58-AM60</f>
        <v>61.7</v>
      </c>
    </row>
    <row r="64" spans="1:39">
      <c r="A64" s="67"/>
      <c r="B64" s="67" t="s">
        <v>28</v>
      </c>
      <c r="K64" s="67">
        <f>K63/K$53</f>
        <v>0.29813664596273293</v>
      </c>
      <c r="M64" s="67">
        <f>M63/M$53</f>
        <v>0.28686964795432912</v>
      </c>
      <c r="O64" s="67">
        <f ca="1">O63/O$53</f>
        <v>0.28421741977734127</v>
      </c>
      <c r="Q64" s="67">
        <f ca="1">Q63/Q$53</f>
        <v>0.28421741977734116</v>
      </c>
      <c r="S64" s="67">
        <f ca="1">S63/S$53</f>
        <v>0.33440170940170943</v>
      </c>
      <c r="U64" s="67">
        <f ca="1">U63/U$53</f>
        <v>0.33134962805526047</v>
      </c>
      <c r="W64" s="67">
        <f ca="1">W63/W$53</f>
        <v>0.33071832156648184</v>
      </c>
      <c r="Y64" s="67">
        <f ca="1">Y63/Y$53</f>
        <v>0.3300932656369982</v>
      </c>
      <c r="AA64" s="67">
        <f ca="1">AA63/AA$53</f>
        <v>0.32947439838008369</v>
      </c>
      <c r="AC64" s="67">
        <f ca="1">AC63/AC$53</f>
        <v>0.32886165852175242</v>
      </c>
      <c r="AE64" s="67">
        <f ca="1">AE63/AE$53</f>
        <v>0.32825498539469178</v>
      </c>
      <c r="AG64" s="67">
        <f ca="1">AG63/AG$53</f>
        <v>0.32765431893225555</v>
      </c>
      <c r="AI64" s="67">
        <f ca="1">AI63/AI$53</f>
        <v>0.32705959966251658</v>
      </c>
      <c r="AK64" s="33">
        <f>AK63/AK$53</f>
        <v>0.30952380952380953</v>
      </c>
      <c r="AM64" s="33">
        <f>AM63/AM$53</f>
        <v>0.28657686948444033</v>
      </c>
    </row>
    <row r="66" spans="1:35" ht="13.5" customHeight="1">
      <c r="A66" s="4" t="s">
        <v>70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  <row r="67" spans="1:35">
      <c r="A67" s="3" t="str">
        <f>$A$5</f>
        <v>($ in millions, except per share data)</v>
      </c>
    </row>
    <row r="68" spans="1:35" ht="13.75" thickBot="1">
      <c r="G68" s="100" t="s">
        <v>71</v>
      </c>
      <c r="H68" s="100"/>
      <c r="I68" s="100"/>
      <c r="K68" s="100" t="s">
        <v>72</v>
      </c>
      <c r="L68" s="100"/>
      <c r="M68" s="100"/>
      <c r="O68" s="22" t="s">
        <v>73</v>
      </c>
      <c r="Q68" s="20" t="str">
        <f>Q120</f>
        <v>Projected Fiscal Years Ending September 30,</v>
      </c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</row>
    <row r="69" spans="1:35">
      <c r="E69" s="81"/>
      <c r="G69" s="81">
        <f>Q69-1</f>
        <v>0</v>
      </c>
      <c r="I69" s="81" t="str">
        <f>TEXT(ltm_date,"mmm d")</f>
        <v>Mar 31</v>
      </c>
      <c r="M69" s="22" t="s">
        <v>74</v>
      </c>
      <c r="O69" s="22" t="s">
        <v>75</v>
      </c>
      <c r="Q69" s="81">
        <f>Q121</f>
        <v>1</v>
      </c>
      <c r="S69" s="81">
        <f>S121</f>
        <v>2</v>
      </c>
      <c r="U69" s="81">
        <f>U121</f>
        <v>3</v>
      </c>
      <c r="W69" s="81">
        <f>W121</f>
        <v>4</v>
      </c>
      <c r="Y69" s="81">
        <f>Y121</f>
        <v>5</v>
      </c>
      <c r="AA69" s="81">
        <f>AA121</f>
        <v>6</v>
      </c>
      <c r="AC69" s="81">
        <f>AC121</f>
        <v>7</v>
      </c>
      <c r="AE69" s="81">
        <f>AE121</f>
        <v>8</v>
      </c>
      <c r="AG69" s="81">
        <f>AG121</f>
        <v>9</v>
      </c>
      <c r="AI69" s="81">
        <f>AI121</f>
        <v>10</v>
      </c>
    </row>
    <row r="70" spans="1:35" ht="13.75" thickBot="1">
      <c r="G70" s="82">
        <f>Q70-1</f>
        <v>2007</v>
      </c>
      <c r="I70" s="82" t="str">
        <f>TEXT(ltm_date,"YYYY")</f>
        <v>2008</v>
      </c>
      <c r="K70" s="82" t="s">
        <v>76</v>
      </c>
      <c r="M70" s="82" t="s">
        <v>66</v>
      </c>
      <c r="O70" s="101">
        <f>Y41</f>
        <v>39660</v>
      </c>
      <c r="Q70" s="82">
        <f>Q122</f>
        <v>2008</v>
      </c>
      <c r="S70" s="82">
        <f>S122</f>
        <v>2009</v>
      </c>
      <c r="U70" s="82">
        <f>U122</f>
        <v>2010</v>
      </c>
      <c r="W70" s="82">
        <f>W122</f>
        <v>2011</v>
      </c>
      <c r="Y70" s="82">
        <f>Y122</f>
        <v>2012</v>
      </c>
      <c r="AA70" s="82">
        <f>AA122</f>
        <v>2013</v>
      </c>
      <c r="AC70" s="82">
        <f>AC122</f>
        <v>2014</v>
      </c>
      <c r="AE70" s="82">
        <f>AE122</f>
        <v>2015</v>
      </c>
      <c r="AG70" s="82">
        <f>AG122</f>
        <v>2016</v>
      </c>
      <c r="AI70" s="82">
        <f>AI122</f>
        <v>2017</v>
      </c>
    </row>
    <row r="71" spans="1:35">
      <c r="A71" s="83" t="s">
        <v>77</v>
      </c>
    </row>
    <row r="72" spans="1:35">
      <c r="B72" t="s">
        <v>78</v>
      </c>
      <c r="G72" s="77">
        <v>132.83199999999999</v>
      </c>
      <c r="I72" s="77">
        <v>146.60599999999999</v>
      </c>
      <c r="O72" s="76">
        <f>SUM(I72:M72)</f>
        <v>146.60599999999999</v>
      </c>
    </row>
    <row r="73" spans="1:35">
      <c r="B73" t="s">
        <v>79</v>
      </c>
      <c r="G73" s="38">
        <f>114.132+6.038</f>
        <v>120.17</v>
      </c>
      <c r="I73" s="38">
        <v>131.44300000000001</v>
      </c>
      <c r="O73" s="94">
        <f>SUM(I73:M73)</f>
        <v>131.44300000000001</v>
      </c>
    </row>
    <row r="74" spans="1:35">
      <c r="B74" t="s">
        <v>80</v>
      </c>
      <c r="G74" s="38">
        <v>0</v>
      </c>
      <c r="I74" s="38">
        <v>0</v>
      </c>
      <c r="O74" s="94">
        <f>SUM(I74:M74)</f>
        <v>0</v>
      </c>
    </row>
    <row r="75" spans="1:35">
      <c r="B75" t="s">
        <v>81</v>
      </c>
      <c r="G75" s="38">
        <v>10.657</v>
      </c>
      <c r="I75" s="38">
        <v>8.8279999999999994</v>
      </c>
      <c r="O75" s="94">
        <f>SUM(I75:M75)</f>
        <v>8.8279999999999994</v>
      </c>
    </row>
    <row r="76" spans="1:35" ht="13.75" thickBot="1">
      <c r="B76" t="s">
        <v>82</v>
      </c>
      <c r="G76" s="38">
        <f>2.128+6.399</f>
        <v>8.527000000000001</v>
      </c>
      <c r="I76" s="38">
        <v>8.2230000000000008</v>
      </c>
      <c r="O76" s="94">
        <f>SUM(I76:M76)</f>
        <v>8.2230000000000008</v>
      </c>
    </row>
    <row r="77" spans="1:35">
      <c r="C77" t="s">
        <v>83</v>
      </c>
      <c r="G77" s="102">
        <f>SUM(G72:G76)</f>
        <v>272.18599999999998</v>
      </c>
      <c r="I77" s="102">
        <f>SUM(I72:I76)</f>
        <v>295.09999999999997</v>
      </c>
      <c r="O77" s="102">
        <f>SUM(O72:O76)</f>
        <v>295.09999999999997</v>
      </c>
    </row>
    <row r="78" spans="1:35" ht="5.15" customHeight="1"/>
    <row r="79" spans="1:35">
      <c r="B79" t="s">
        <v>84</v>
      </c>
      <c r="G79" s="74">
        <f>G81-G80</f>
        <v>168.87700000000001</v>
      </c>
      <c r="I79" s="74">
        <f>I81-I80</f>
        <v>175.41400000000002</v>
      </c>
      <c r="O79" s="76">
        <f>SUM(I79:M79)</f>
        <v>175.41400000000002</v>
      </c>
    </row>
    <row r="80" spans="1:35" ht="13.75" thickBot="1">
      <c r="B80" t="s">
        <v>85</v>
      </c>
      <c r="G80" s="38">
        <f>-69.565-66.656</f>
        <v>-136.221</v>
      </c>
      <c r="I80" s="38">
        <f>-72.879-69.565</f>
        <v>-142.44400000000002</v>
      </c>
      <c r="O80" s="94">
        <f>SUM(I80:M80)</f>
        <v>-142.44400000000002</v>
      </c>
    </row>
    <row r="81" spans="1:15">
      <c r="C81" t="s">
        <v>86</v>
      </c>
      <c r="G81" s="103">
        <v>32.655999999999999</v>
      </c>
      <c r="I81" s="103">
        <v>32.97</v>
      </c>
      <c r="O81" s="104">
        <f>SUM(O79:O80)</f>
        <v>32.97</v>
      </c>
    </row>
    <row r="82" spans="1:15" ht="5.15" customHeight="1"/>
    <row r="83" spans="1:15">
      <c r="B83" t="s">
        <v>87</v>
      </c>
      <c r="G83" s="91">
        <v>0</v>
      </c>
      <c r="I83" s="91">
        <v>0</v>
      </c>
      <c r="O83" s="105">
        <f t="shared" ref="O83:O88" si="7">SUM(I83:M83)</f>
        <v>0</v>
      </c>
    </row>
    <row r="84" spans="1:15">
      <c r="B84" t="s">
        <v>88</v>
      </c>
      <c r="G84" s="38">
        <v>0</v>
      </c>
      <c r="I84" s="38">
        <v>0</v>
      </c>
      <c r="O84" s="39">
        <f t="shared" si="7"/>
        <v>0</v>
      </c>
    </row>
    <row r="85" spans="1:15">
      <c r="B85" t="s">
        <v>89</v>
      </c>
      <c r="G85" s="38">
        <v>60.744999999999997</v>
      </c>
      <c r="I85" s="38">
        <v>61.094000000000001</v>
      </c>
      <c r="O85" s="39">
        <f t="shared" si="7"/>
        <v>61.094000000000001</v>
      </c>
    </row>
    <row r="86" spans="1:15">
      <c r="B86" t="s">
        <v>90</v>
      </c>
      <c r="G86" s="38">
        <f>31.526+8.649</f>
        <v>40.174999999999997</v>
      </c>
      <c r="I86" s="38">
        <v>37.491</v>
      </c>
      <c r="O86" s="39">
        <f t="shared" si="7"/>
        <v>37.491</v>
      </c>
    </row>
    <row r="87" spans="1:15">
      <c r="B87" t="s">
        <v>91</v>
      </c>
      <c r="G87" s="38">
        <v>0</v>
      </c>
      <c r="I87" s="38">
        <v>0</v>
      </c>
      <c r="O87" s="39">
        <f t="shared" si="7"/>
        <v>0</v>
      </c>
    </row>
    <row r="88" spans="1:15" ht="13.75" thickBot="1">
      <c r="B88" t="s">
        <v>92</v>
      </c>
      <c r="G88" s="38">
        <f>9.453+7.173</f>
        <v>16.625999999999998</v>
      </c>
      <c r="I88" s="38">
        <v>14.29</v>
      </c>
      <c r="O88" s="39">
        <f t="shared" si="7"/>
        <v>14.29</v>
      </c>
    </row>
    <row r="89" spans="1:15" ht="13.75" thickBot="1">
      <c r="A89" s="10"/>
      <c r="B89" s="10"/>
      <c r="C89" s="10" t="s">
        <v>93</v>
      </c>
      <c r="G89" s="106">
        <f>SUM(G81:G88)+G77</f>
        <v>422.38799999999998</v>
      </c>
      <c r="I89" s="106">
        <f>SUM(I81:I88)+I77</f>
        <v>440.94499999999994</v>
      </c>
      <c r="O89" s="106">
        <f>SUM(O81:O88)+O77</f>
        <v>440.94499999999994</v>
      </c>
    </row>
    <row r="90" spans="1:15" ht="13.75" thickTop="1"/>
    <row r="91" spans="1:15">
      <c r="A91" s="83" t="s">
        <v>94</v>
      </c>
    </row>
    <row r="92" spans="1:15">
      <c r="B92" t="s">
        <v>95</v>
      </c>
      <c r="G92" s="77">
        <v>0</v>
      </c>
      <c r="I92" s="77">
        <v>0</v>
      </c>
      <c r="O92" s="107">
        <f>SUM(I92:M92)</f>
        <v>0</v>
      </c>
    </row>
    <row r="93" spans="1:15">
      <c r="B93" t="s">
        <v>96</v>
      </c>
      <c r="G93" s="38">
        <v>18.428999999999998</v>
      </c>
      <c r="I93" s="38">
        <v>20.661999999999999</v>
      </c>
      <c r="O93" s="39">
        <f>SUM(I93:M93)</f>
        <v>20.661999999999999</v>
      </c>
    </row>
    <row r="94" spans="1:15">
      <c r="B94" t="s">
        <v>97</v>
      </c>
      <c r="G94" s="38">
        <f>21.042</f>
        <v>21.042000000000002</v>
      </c>
      <c r="I94" s="38">
        <v>15.38</v>
      </c>
      <c r="O94" s="39">
        <f>SUM(I94:M94)</f>
        <v>15.38</v>
      </c>
    </row>
    <row r="95" spans="1:15">
      <c r="B95" t="s">
        <v>98</v>
      </c>
      <c r="G95" s="38">
        <v>26.657</v>
      </c>
      <c r="I95" s="38">
        <v>0</v>
      </c>
      <c r="O95" s="39">
        <f>SUM(I95:M95)</f>
        <v>0</v>
      </c>
    </row>
    <row r="96" spans="1:15" ht="13.75" thickBot="1">
      <c r="B96" t="s">
        <v>99</v>
      </c>
      <c r="G96" s="38">
        <f>7.595+17.48</f>
        <v>25.074999999999999</v>
      </c>
      <c r="I96" s="38">
        <v>59.132999999999996</v>
      </c>
      <c r="O96" s="39">
        <f>SUM(I96:M96)</f>
        <v>59.132999999999996</v>
      </c>
    </row>
    <row r="97" spans="1:15">
      <c r="C97" t="s">
        <v>100</v>
      </c>
      <c r="G97" s="108">
        <f>SUM(G92:G96)</f>
        <v>91.203000000000003</v>
      </c>
      <c r="I97" s="108">
        <f>SUM(I92:I96)</f>
        <v>95.174999999999997</v>
      </c>
      <c r="O97" s="108">
        <f>SUM(O92:O96)</f>
        <v>95.174999999999997</v>
      </c>
    </row>
    <row r="98" spans="1:15" ht="5.15" customHeight="1"/>
    <row r="99" spans="1:15">
      <c r="B99" t="s">
        <v>81</v>
      </c>
      <c r="G99" s="77">
        <v>0</v>
      </c>
      <c r="I99" s="77">
        <v>0</v>
      </c>
      <c r="O99" s="107">
        <f>SUM(I99:M99)</f>
        <v>0</v>
      </c>
    </row>
    <row r="100" spans="1:15">
      <c r="B100" t="s">
        <v>101</v>
      </c>
      <c r="G100" s="38">
        <v>0</v>
      </c>
      <c r="I100" s="38">
        <v>0</v>
      </c>
      <c r="O100" s="39">
        <f>SUM(I100:M100)</f>
        <v>0</v>
      </c>
    </row>
    <row r="101" spans="1:15">
      <c r="B101" t="s">
        <v>102</v>
      </c>
      <c r="G101" s="38">
        <f>9.79+4.918+3.953</f>
        <v>18.660999999999998</v>
      </c>
      <c r="I101" s="38">
        <v>17.917000000000002</v>
      </c>
      <c r="O101" s="39">
        <f>SUM(I101:M101)</f>
        <v>17.917000000000002</v>
      </c>
    </row>
    <row r="102" spans="1:15" ht="5.15" customHeight="1"/>
    <row r="103" spans="1:15" ht="13.75" thickBot="1">
      <c r="B103" t="s">
        <v>103</v>
      </c>
      <c r="G103" s="38">
        <v>230</v>
      </c>
      <c r="I103" s="38">
        <v>230</v>
      </c>
      <c r="O103" s="39">
        <f>SUM(I103:M103)</f>
        <v>230</v>
      </c>
    </row>
    <row r="104" spans="1:15">
      <c r="A104" s="24"/>
      <c r="B104" s="24"/>
      <c r="C104" s="24" t="s">
        <v>104</v>
      </c>
      <c r="G104" s="108">
        <f>SUM(G97:G103)</f>
        <v>339.86400000000003</v>
      </c>
      <c r="I104" s="108">
        <f>SUM(I97:I103)</f>
        <v>343.09199999999998</v>
      </c>
      <c r="O104" s="108">
        <f>SUM(O97:O103)</f>
        <v>343.09199999999998</v>
      </c>
    </row>
    <row r="106" spans="1:15">
      <c r="A106" s="83" t="s">
        <v>105</v>
      </c>
    </row>
    <row r="107" spans="1:15">
      <c r="B107" t="s">
        <v>106</v>
      </c>
      <c r="G107" s="77">
        <v>82.524000000000001</v>
      </c>
      <c r="I107" s="77">
        <v>97.853000000000094</v>
      </c>
      <c r="O107" s="107">
        <f>SUM(I107:M107)</f>
        <v>97.853000000000094</v>
      </c>
    </row>
    <row r="108" spans="1:15">
      <c r="B108" t="s">
        <v>222</v>
      </c>
      <c r="G108" s="38">
        <v>0</v>
      </c>
      <c r="I108" s="38">
        <v>0</v>
      </c>
      <c r="O108" s="39">
        <f>SUM(I108:M108)</f>
        <v>0</v>
      </c>
    </row>
    <row r="109" spans="1:15">
      <c r="B109" t="s">
        <v>66</v>
      </c>
      <c r="G109" s="38">
        <v>0</v>
      </c>
      <c r="I109" s="38">
        <v>0</v>
      </c>
      <c r="O109" s="39">
        <f>SUM(I109:M109)</f>
        <v>0</v>
      </c>
    </row>
    <row r="110" spans="1:15">
      <c r="B110" t="s">
        <v>107</v>
      </c>
      <c r="G110" s="38">
        <v>0</v>
      </c>
      <c r="I110" s="38">
        <v>0</v>
      </c>
      <c r="O110" s="39">
        <f>SUM(I110:M110)</f>
        <v>0</v>
      </c>
    </row>
    <row r="111" spans="1:15" ht="13.75" thickBot="1">
      <c r="B111" t="s">
        <v>108</v>
      </c>
      <c r="G111" s="38">
        <v>0</v>
      </c>
      <c r="I111" s="38">
        <v>0</v>
      </c>
      <c r="O111" s="39">
        <f>SUM(I111:M111)</f>
        <v>0</v>
      </c>
    </row>
    <row r="112" spans="1:15">
      <c r="C112" t="s">
        <v>109</v>
      </c>
      <c r="G112" s="108">
        <f>SUM(G107:G111)</f>
        <v>82.524000000000001</v>
      </c>
      <c r="I112" s="108">
        <f>SUM(I107:I111)</f>
        <v>97.853000000000094</v>
      </c>
      <c r="O112" s="108">
        <f>SUM(O107:O111)</f>
        <v>97.853000000000094</v>
      </c>
    </row>
    <row r="113" spans="1:35" ht="13.75" thickBot="1"/>
    <row r="114" spans="1:35" s="10" customFormat="1" ht="13.75" thickBot="1">
      <c r="C114" s="10" t="s">
        <v>110</v>
      </c>
      <c r="G114" s="106">
        <f>G112+G104</f>
        <v>422.38800000000003</v>
      </c>
      <c r="I114" s="106">
        <f>I112+I104</f>
        <v>440.94500000000005</v>
      </c>
      <c r="O114" s="106">
        <f>O112+O104</f>
        <v>440.94500000000005</v>
      </c>
    </row>
    <row r="115" spans="1:35" ht="13.75" thickTop="1"/>
    <row r="116" spans="1:35" s="19" customFormat="1">
      <c r="A116" s="19" t="s">
        <v>111</v>
      </c>
      <c r="G116" s="109">
        <f>G114-G89</f>
        <v>0</v>
      </c>
      <c r="I116" s="109">
        <f>I114-I89</f>
        <v>0</v>
      </c>
      <c r="O116" s="109">
        <f>O114-O89</f>
        <v>0</v>
      </c>
    </row>
    <row r="118" spans="1:35">
      <c r="A118" s="4" t="s">
        <v>52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</row>
    <row r="119" spans="1:35">
      <c r="A119" s="3" t="str">
        <f>$A$5</f>
        <v>($ in millions, except per share data)</v>
      </c>
    </row>
    <row r="120" spans="1:35" ht="13.5" customHeight="1" thickBot="1">
      <c r="Q120" s="20" t="str">
        <f>"Projected Fiscal Years Ending "&amp;TEXT(fye,"mmmm dd")&amp;","</f>
        <v>Projected Fiscal Years Ending September 30,</v>
      </c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</row>
    <row r="121" spans="1:35">
      <c r="Q121" s="87">
        <v>1</v>
      </c>
      <c r="S121" s="81">
        <f>Q121+1</f>
        <v>2</v>
      </c>
      <c r="U121" s="81">
        <f>S121+1</f>
        <v>3</v>
      </c>
      <c r="W121" s="81">
        <f>U121+1</f>
        <v>4</v>
      </c>
      <c r="Y121" s="81">
        <f>W121+1</f>
        <v>5</v>
      </c>
      <c r="AA121" s="81">
        <f>Y121+1</f>
        <v>6</v>
      </c>
      <c r="AC121" s="81">
        <f>AA121+1</f>
        <v>7</v>
      </c>
      <c r="AE121" s="81">
        <f>AC121+1</f>
        <v>8</v>
      </c>
      <c r="AG121" s="81">
        <f>AE121+1</f>
        <v>9</v>
      </c>
      <c r="AI121" s="81">
        <f>AG121+1</f>
        <v>10</v>
      </c>
    </row>
    <row r="122" spans="1:35" ht="13.5" customHeight="1" thickBot="1">
      <c r="Q122" s="88">
        <f>'Target P&amp;L'!M5</f>
        <v>2008</v>
      </c>
      <c r="S122" s="82">
        <f>Q122+1</f>
        <v>2009</v>
      </c>
      <c r="U122" s="82">
        <f>S122+1</f>
        <v>2010</v>
      </c>
      <c r="W122" s="82">
        <f>U122+1</f>
        <v>2011</v>
      </c>
      <c r="Y122" s="82">
        <f>W122+1</f>
        <v>2012</v>
      </c>
      <c r="AA122" s="82">
        <f>Y122+1</f>
        <v>2013</v>
      </c>
      <c r="AC122" s="82">
        <f>AA122+1</f>
        <v>2014</v>
      </c>
      <c r="AE122" s="82">
        <f>AC122+1</f>
        <v>2015</v>
      </c>
      <c r="AG122" s="82">
        <f>AE122+1</f>
        <v>2016</v>
      </c>
      <c r="AI122" s="82">
        <f>AG122+1</f>
        <v>2017</v>
      </c>
    </row>
    <row r="123" spans="1:35">
      <c r="A123" s="83" t="s">
        <v>53</v>
      </c>
    </row>
    <row r="124" spans="1:35">
      <c r="B124" s="84" t="s">
        <v>54</v>
      </c>
      <c r="Q124" s="35">
        <v>0.14000000000000001</v>
      </c>
      <c r="S124" s="35">
        <v>4.4999999999999998E-2</v>
      </c>
      <c r="U124" s="35">
        <v>3.5999999999999997E-2</v>
      </c>
      <c r="W124" s="35">
        <v>2.4E-2</v>
      </c>
      <c r="Y124" s="35">
        <v>2.4E-2</v>
      </c>
      <c r="AA124" s="35">
        <v>2.4E-2</v>
      </c>
      <c r="AC124" s="35">
        <v>2.4E-2</v>
      </c>
      <c r="AE124" s="35">
        <v>2.4E-2</v>
      </c>
      <c r="AG124" s="35">
        <v>2.4E-2</v>
      </c>
      <c r="AI124" s="35">
        <v>2.4E-2</v>
      </c>
    </row>
    <row r="125" spans="1:35">
      <c r="B125" s="84" t="s">
        <v>55</v>
      </c>
      <c r="Q125" s="85">
        <f>'Target P&amp;L'!M8</f>
        <v>0.1381366459627329</v>
      </c>
      <c r="S125" s="85">
        <f>'Target P&amp;L'!O8</f>
        <v>2.16110019646365E-2</v>
      </c>
      <c r="U125" s="85">
        <f>'Target P&amp;L'!Q8</f>
        <v>5.3418803418803229E-3</v>
      </c>
      <c r="W125" s="85">
        <f>'Target P&amp;L'!S8</f>
        <v>0.01</v>
      </c>
      <c r="Y125" s="85">
        <f>'Target P&amp;L'!U8</f>
        <v>0.01</v>
      </c>
      <c r="AA125" s="67">
        <f>Y125</f>
        <v>0.01</v>
      </c>
      <c r="AC125" s="67">
        <f>AA125</f>
        <v>0.01</v>
      </c>
      <c r="AE125" s="67">
        <f>AC125</f>
        <v>0.01</v>
      </c>
      <c r="AG125" s="67">
        <f>AE125</f>
        <v>0.01</v>
      </c>
      <c r="AI125" s="67">
        <f>AG125</f>
        <v>0.01</v>
      </c>
    </row>
    <row r="126" spans="1:35">
      <c r="B126" s="84" t="s">
        <v>56</v>
      </c>
      <c r="Q126" s="35">
        <v>0.11</v>
      </c>
      <c r="S126" s="35">
        <v>0.02</v>
      </c>
      <c r="U126" s="35">
        <v>5.0000000000000001E-3</v>
      </c>
      <c r="W126" s="35">
        <v>5.0000000000000001E-3</v>
      </c>
      <c r="Y126" s="35">
        <v>5.0000000000000001E-3</v>
      </c>
      <c r="AA126" s="35">
        <v>5.0000000000000001E-3</v>
      </c>
      <c r="AC126" s="35">
        <v>5.0000000000000001E-3</v>
      </c>
      <c r="AE126" s="35">
        <v>5.0000000000000001E-3</v>
      </c>
      <c r="AG126" s="35">
        <v>5.0000000000000001E-3</v>
      </c>
      <c r="AI126" s="35">
        <v>5.0000000000000001E-3</v>
      </c>
    </row>
    <row r="127" spans="1:35" ht="5.15" customHeight="1">
      <c r="B127" s="84"/>
      <c r="Q127" s="35"/>
      <c r="S127" s="35"/>
      <c r="U127" s="35"/>
      <c r="W127" s="35"/>
      <c r="Y127" s="35"/>
      <c r="AA127" s="35"/>
      <c r="AC127" s="35"/>
      <c r="AE127" s="35"/>
      <c r="AG127" s="35"/>
      <c r="AI127" s="35"/>
    </row>
    <row r="128" spans="1:35" s="10" customFormat="1">
      <c r="B128" s="10" t="str">
        <f ca="1">OFFSET(B123,op_case,0)</f>
        <v>Analyst Case</v>
      </c>
      <c r="Q128" s="90">
        <f ca="1">OFFSET(Q123,op_case,0)</f>
        <v>0.1381366459627329</v>
      </c>
      <c r="S128" s="90">
        <f ca="1">OFFSET(S123,op_case,0)</f>
        <v>2.16110019646365E-2</v>
      </c>
      <c r="U128" s="90">
        <f ca="1">OFFSET(U123,op_case,0)</f>
        <v>5.3418803418803229E-3</v>
      </c>
      <c r="W128" s="90">
        <f ca="1">OFFSET(W123,op_case,0)</f>
        <v>0.01</v>
      </c>
      <c r="Y128" s="90">
        <f ca="1">OFFSET(Y123,op_case,0)</f>
        <v>0.01</v>
      </c>
      <c r="AA128" s="90">
        <f ca="1">OFFSET(AA123,op_case,0)</f>
        <v>0.01</v>
      </c>
      <c r="AC128" s="90">
        <f ca="1">OFFSET(AC123,op_case,0)</f>
        <v>0.01</v>
      </c>
      <c r="AE128" s="90">
        <f ca="1">OFFSET(AE123,op_case,0)</f>
        <v>0.01</v>
      </c>
      <c r="AG128" s="90">
        <f ca="1">OFFSET(AG123,op_case,0)</f>
        <v>0.01</v>
      </c>
      <c r="AI128" s="90">
        <f ca="1">OFFSET(AI123,op_case,0)</f>
        <v>0.01</v>
      </c>
    </row>
    <row r="130" spans="1:35" s="24" customFormat="1">
      <c r="A130" s="83" t="s">
        <v>57</v>
      </c>
      <c r="Q130" s="86"/>
      <c r="S130" s="86"/>
      <c r="U130" s="86"/>
      <c r="W130" s="86"/>
      <c r="Y130" s="86"/>
      <c r="AA130" s="86"/>
      <c r="AC130" s="86"/>
      <c r="AE130" s="86"/>
      <c r="AG130" s="86"/>
      <c r="AI130" s="86"/>
    </row>
    <row r="131" spans="1:35">
      <c r="B131" t="str">
        <f>B124</f>
        <v>Management Case</v>
      </c>
      <c r="Q131" s="35">
        <v>0.52</v>
      </c>
      <c r="S131" s="35">
        <v>0.51500000000000001</v>
      </c>
      <c r="U131" s="35">
        <v>0.51500000000000001</v>
      </c>
      <c r="W131" s="35">
        <v>0.51</v>
      </c>
      <c r="Y131" s="35">
        <v>0.51</v>
      </c>
      <c r="AA131" s="35">
        <v>0.51</v>
      </c>
      <c r="AC131" s="35">
        <v>0.51</v>
      </c>
      <c r="AE131" s="35">
        <v>0.51</v>
      </c>
      <c r="AG131" s="35">
        <v>0.51</v>
      </c>
      <c r="AI131" s="35">
        <v>0.51</v>
      </c>
    </row>
    <row r="132" spans="1:35">
      <c r="B132" t="str">
        <f>B125</f>
        <v>Analyst Case</v>
      </c>
      <c r="Q132" s="85">
        <f>'Target P&amp;L'!M11</f>
        <v>0.52302990613403189</v>
      </c>
      <c r="S132" s="85">
        <f>'Target P&amp;L'!O11</f>
        <v>0.53376068376068375</v>
      </c>
      <c r="U132" s="85">
        <f>'Target P&amp;L'!Q11</f>
        <v>0.53602550478214661</v>
      </c>
      <c r="W132" s="85">
        <f>'Target P&amp;L'!S11</f>
        <v>0.53602550478214661</v>
      </c>
      <c r="Y132" s="85">
        <f>'Target P&amp;L'!U11</f>
        <v>0.53602550478214661</v>
      </c>
      <c r="AA132" s="67">
        <f>Y132</f>
        <v>0.53602550478214661</v>
      </c>
      <c r="AC132" s="67">
        <f>AA132</f>
        <v>0.53602550478214661</v>
      </c>
      <c r="AE132" s="67">
        <f>AC132</f>
        <v>0.53602550478214661</v>
      </c>
      <c r="AG132" s="67">
        <f>AE132</f>
        <v>0.53602550478214661</v>
      </c>
      <c r="AI132" s="67">
        <f>AG132</f>
        <v>0.53602550478214661</v>
      </c>
    </row>
    <row r="133" spans="1:35">
      <c r="B133" t="str">
        <f>B126</f>
        <v>Downside Case</v>
      </c>
      <c r="Q133" s="35">
        <v>0.52500000000000002</v>
      </c>
      <c r="S133" s="35">
        <v>0.53900000000000003</v>
      </c>
      <c r="U133" s="35">
        <v>0.54200000000000004</v>
      </c>
      <c r="W133" s="35">
        <v>0.54500000000000004</v>
      </c>
      <c r="Y133" s="35">
        <v>0.54500000000000004</v>
      </c>
      <c r="AA133" s="35">
        <v>0.54500000000000004</v>
      </c>
      <c r="AC133" s="35">
        <v>0.54500000000000004</v>
      </c>
      <c r="AE133" s="35">
        <v>0.54500000000000004</v>
      </c>
      <c r="AG133" s="35">
        <v>0.54500000000000004</v>
      </c>
      <c r="AI133" s="35">
        <v>0.54500000000000004</v>
      </c>
    </row>
    <row r="134" spans="1:35" ht="5.15" customHeight="1"/>
    <row r="135" spans="1:35" s="10" customFormat="1">
      <c r="B135" s="10" t="str">
        <f ca="1">OFFSET(B130,op_case,0)</f>
        <v>Analyst Case</v>
      </c>
      <c r="Q135" s="90">
        <f ca="1">OFFSET(Q130,op_case,0)</f>
        <v>0.52302990613403189</v>
      </c>
      <c r="S135" s="90">
        <f ca="1">OFFSET(S130,op_case,0)</f>
        <v>0.53376068376068375</v>
      </c>
      <c r="U135" s="90">
        <f ca="1">OFFSET(U130,op_case,0)</f>
        <v>0.53602550478214661</v>
      </c>
      <c r="W135" s="90">
        <f ca="1">OFFSET(W130,op_case,0)</f>
        <v>0.53602550478214661</v>
      </c>
      <c r="Y135" s="90">
        <f ca="1">OFFSET(Y130,op_case,0)</f>
        <v>0.53602550478214661</v>
      </c>
      <c r="AA135" s="90">
        <f ca="1">OFFSET(AA130,op_case,0)</f>
        <v>0.53602550478214661</v>
      </c>
      <c r="AC135" s="90">
        <f ca="1">OFFSET(AC130,op_case,0)</f>
        <v>0.53602550478214661</v>
      </c>
      <c r="AE135" s="90">
        <f ca="1">OFFSET(AE130,op_case,0)</f>
        <v>0.53602550478214661</v>
      </c>
      <c r="AG135" s="90">
        <f ca="1">OFFSET(AG130,op_case,0)</f>
        <v>0.53602550478214661</v>
      </c>
      <c r="AI135" s="90">
        <f ca="1">OFFSET(AI130,op_case,0)</f>
        <v>0.53602550478214661</v>
      </c>
    </row>
    <row r="137" spans="1:35" s="24" customFormat="1">
      <c r="A137" s="83" t="s">
        <v>58</v>
      </c>
      <c r="Q137" s="86"/>
      <c r="S137" s="86"/>
      <c r="U137" s="86"/>
      <c r="W137" s="86"/>
      <c r="Y137" s="86"/>
      <c r="AA137" s="86"/>
      <c r="AC137" s="86"/>
      <c r="AE137" s="86"/>
      <c r="AG137" s="86"/>
      <c r="AI137" s="86"/>
    </row>
    <row r="138" spans="1:35">
      <c r="B138" t="str">
        <f>B131</f>
        <v>Management Case</v>
      </c>
      <c r="Q138" s="35">
        <v>0.19</v>
      </c>
      <c r="S138" s="35">
        <v>0.19</v>
      </c>
      <c r="U138" s="35">
        <v>0.189</v>
      </c>
      <c r="W138" s="35">
        <v>0.188</v>
      </c>
      <c r="Y138" s="35">
        <v>0.187</v>
      </c>
      <c r="AA138" s="35">
        <v>0.187</v>
      </c>
      <c r="AC138" s="35">
        <v>0.187</v>
      </c>
      <c r="AE138" s="35">
        <v>0.187</v>
      </c>
      <c r="AG138" s="35">
        <v>0.187</v>
      </c>
      <c r="AI138" s="35">
        <v>0.187</v>
      </c>
    </row>
    <row r="139" spans="1:35">
      <c r="B139" t="str">
        <f>B132</f>
        <v>Analyst Case</v>
      </c>
      <c r="Q139" s="85">
        <f>'Target P&amp;L'!M16</f>
        <v>0.19275267408862692</v>
      </c>
      <c r="S139" s="85">
        <f>'Target P&amp;L'!O16</f>
        <v>0.19594017094017094</v>
      </c>
      <c r="U139" s="85">
        <f>'Target P&amp;L'!Q16</f>
        <v>0.19638682252922424</v>
      </c>
      <c r="W139" s="85">
        <f>'Target P&amp;L'!S16</f>
        <v>0.19638682252922424</v>
      </c>
      <c r="Y139" s="85">
        <f>'Target P&amp;L'!U16</f>
        <v>0.19638682252922424</v>
      </c>
      <c r="AA139" s="67">
        <f>Y139</f>
        <v>0.19638682252922424</v>
      </c>
      <c r="AC139" s="67">
        <f>AA139</f>
        <v>0.19638682252922424</v>
      </c>
      <c r="AE139" s="67">
        <f>AC139</f>
        <v>0.19638682252922424</v>
      </c>
      <c r="AG139" s="67">
        <f>AE139</f>
        <v>0.19638682252922424</v>
      </c>
      <c r="AI139" s="67">
        <f>AG139</f>
        <v>0.19638682252922424</v>
      </c>
    </row>
    <row r="140" spans="1:35">
      <c r="B140" t="str">
        <f>B133</f>
        <v>Downside Case</v>
      </c>
      <c r="Q140" s="35">
        <v>0.19600000000000001</v>
      </c>
      <c r="S140" s="35">
        <v>0.2</v>
      </c>
      <c r="U140" s="35">
        <v>0.20200000000000001</v>
      </c>
      <c r="W140" s="35">
        <v>0.20399999999999999</v>
      </c>
      <c r="Y140" s="35">
        <v>0.20499999999999999</v>
      </c>
      <c r="AA140" s="35">
        <v>0.20499999999999999</v>
      </c>
      <c r="AC140" s="35">
        <v>0.20499999999999999</v>
      </c>
      <c r="AE140" s="35">
        <v>0.20499999999999999</v>
      </c>
      <c r="AG140" s="35">
        <v>0.20499999999999999</v>
      </c>
      <c r="AI140" s="35">
        <v>0.20499999999999999</v>
      </c>
    </row>
    <row r="141" spans="1:35" ht="5.15" customHeight="1"/>
    <row r="142" spans="1:35" s="10" customFormat="1">
      <c r="B142" s="10" t="str">
        <f ca="1">OFFSET(B137,op_case,0)</f>
        <v>Analyst Case</v>
      </c>
      <c r="Q142" s="90">
        <f ca="1">OFFSET(Q137,op_case,0)</f>
        <v>0.19275267408862692</v>
      </c>
      <c r="S142" s="90">
        <f ca="1">OFFSET(S137,op_case,0)</f>
        <v>0.19594017094017094</v>
      </c>
      <c r="U142" s="90">
        <f ca="1">OFFSET(U137,op_case,0)</f>
        <v>0.19638682252922424</v>
      </c>
      <c r="W142" s="90">
        <f ca="1">OFFSET(W137,op_case,0)</f>
        <v>0.19638682252922424</v>
      </c>
      <c r="Y142" s="90">
        <f ca="1">OFFSET(Y137,op_case,0)</f>
        <v>0.19638682252922424</v>
      </c>
      <c r="AA142" s="90">
        <f ca="1">OFFSET(AA137,op_case,0)</f>
        <v>0.19638682252922424</v>
      </c>
      <c r="AC142" s="90">
        <f ca="1">OFFSET(AC137,op_case,0)</f>
        <v>0.19638682252922424</v>
      </c>
      <c r="AE142" s="90">
        <f ca="1">OFFSET(AE137,op_case,0)</f>
        <v>0.19638682252922424</v>
      </c>
      <c r="AG142" s="90">
        <f ca="1">OFFSET(AG137,op_case,0)</f>
        <v>0.19638682252922424</v>
      </c>
      <c r="AI142" s="90">
        <f ca="1">OFFSET(AI137,op_case,0)</f>
        <v>0.19638682252922424</v>
      </c>
    </row>
    <row r="144" spans="1:35">
      <c r="A144" s="83" t="s">
        <v>59</v>
      </c>
    </row>
    <row r="145" spans="1:38">
      <c r="B145" t="str">
        <f>B138</f>
        <v>Management Case</v>
      </c>
      <c r="Q145" s="35">
        <v>0</v>
      </c>
      <c r="S145" s="35">
        <v>0</v>
      </c>
      <c r="U145" s="35">
        <v>0</v>
      </c>
      <c r="W145" s="35">
        <v>0</v>
      </c>
      <c r="Y145" s="35">
        <v>0</v>
      </c>
      <c r="AA145" s="35">
        <v>0</v>
      </c>
      <c r="AC145" s="35">
        <v>0</v>
      </c>
      <c r="AE145" s="35">
        <v>0</v>
      </c>
      <c r="AG145" s="35">
        <v>0</v>
      </c>
      <c r="AI145" s="35">
        <v>0</v>
      </c>
    </row>
    <row r="146" spans="1:38">
      <c r="B146" t="str">
        <f>B139</f>
        <v>Analyst Case</v>
      </c>
      <c r="Q146" s="35">
        <v>0</v>
      </c>
      <c r="S146" s="35">
        <v>0</v>
      </c>
      <c r="U146" s="35">
        <v>0</v>
      </c>
      <c r="W146" s="35">
        <v>0</v>
      </c>
      <c r="Y146" s="35">
        <v>0</v>
      </c>
      <c r="AA146" s="35">
        <v>0</v>
      </c>
      <c r="AC146" s="35">
        <v>0</v>
      </c>
      <c r="AE146" s="35">
        <v>0</v>
      </c>
      <c r="AG146" s="35">
        <v>0</v>
      </c>
      <c r="AI146" s="35">
        <v>0</v>
      </c>
    </row>
    <row r="147" spans="1:38">
      <c r="B147" t="str">
        <f>B140</f>
        <v>Downside Case</v>
      </c>
      <c r="Q147" s="35">
        <v>0</v>
      </c>
      <c r="S147" s="35">
        <v>0</v>
      </c>
      <c r="U147" s="35">
        <v>0</v>
      </c>
      <c r="W147" s="35">
        <v>0</v>
      </c>
      <c r="Y147" s="35">
        <v>0</v>
      </c>
      <c r="AA147" s="35">
        <v>0</v>
      </c>
      <c r="AC147" s="35">
        <v>0</v>
      </c>
      <c r="AE147" s="35">
        <v>0</v>
      </c>
      <c r="AG147" s="35">
        <v>0</v>
      </c>
      <c r="AI147" s="35">
        <v>0</v>
      </c>
    </row>
    <row r="148" spans="1:38" ht="5.15" customHeight="1"/>
    <row r="149" spans="1:38" s="10" customFormat="1">
      <c r="B149" s="10" t="str">
        <f ca="1">OFFSET(B144,op_case,0)</f>
        <v>Analyst Case</v>
      </c>
      <c r="Q149" s="90">
        <f ca="1">OFFSET(Q144,op_case,0)</f>
        <v>0</v>
      </c>
      <c r="S149" s="90">
        <f ca="1">OFFSET(S144,op_case,0)</f>
        <v>0</v>
      </c>
      <c r="U149" s="90">
        <f ca="1">OFFSET(U144,op_case,0)</f>
        <v>0</v>
      </c>
      <c r="W149" s="90">
        <f ca="1">OFFSET(W144,op_case,0)</f>
        <v>0</v>
      </c>
      <c r="Y149" s="90">
        <f ca="1">OFFSET(Y144,op_case,0)</f>
        <v>0</v>
      </c>
      <c r="AA149" s="90">
        <f ca="1">OFFSET(AA144,op_case,0)</f>
        <v>0</v>
      </c>
      <c r="AC149" s="90">
        <f ca="1">OFFSET(AC144,op_case,0)</f>
        <v>0</v>
      </c>
      <c r="AE149" s="90">
        <f ca="1">OFFSET(AE144,op_case,0)</f>
        <v>0</v>
      </c>
      <c r="AG149" s="90">
        <f ca="1">OFFSET(AG144,op_case,0)</f>
        <v>0</v>
      </c>
      <c r="AI149" s="90">
        <f ca="1">OFFSET(AI144,op_case,0)</f>
        <v>0</v>
      </c>
      <c r="AJ149"/>
      <c r="AK149"/>
      <c r="AL149"/>
    </row>
    <row r="151" spans="1:38">
      <c r="A151" s="4" t="s">
        <v>192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</row>
    <row r="152" spans="1:38">
      <c r="A152" s="3" t="str">
        <f>$A$5</f>
        <v>($ in millions, except per share data)</v>
      </c>
    </row>
    <row r="153" spans="1:38">
      <c r="S153" s="22" t="s">
        <v>193</v>
      </c>
    </row>
    <row r="154" spans="1:38" ht="13.5" customHeight="1" thickBot="1">
      <c r="G154" s="100" t="s">
        <v>194</v>
      </c>
      <c r="H154" s="100"/>
      <c r="I154" s="100"/>
      <c r="J154" s="100"/>
      <c r="K154" s="100"/>
      <c r="L154" s="100"/>
      <c r="M154" s="100"/>
      <c r="N154" s="100"/>
      <c r="O154" s="100"/>
      <c r="P154" s="100"/>
      <c r="Q154" s="100"/>
      <c r="S154" s="82" t="s">
        <v>195</v>
      </c>
    </row>
    <row r="155" spans="1:38">
      <c r="A155" s="24" t="s">
        <v>195</v>
      </c>
      <c r="G155" s="138">
        <v>1</v>
      </c>
      <c r="H155" s="110"/>
      <c r="I155" s="139">
        <f>G155+1</f>
        <v>2</v>
      </c>
      <c r="J155" s="110"/>
      <c r="K155" s="139">
        <f>I155+1</f>
        <v>3</v>
      </c>
      <c r="L155" s="139"/>
      <c r="M155" s="139">
        <f>K155+1</f>
        <v>4</v>
      </c>
      <c r="N155" s="110"/>
      <c r="O155" s="139">
        <f>M155+1</f>
        <v>5</v>
      </c>
      <c r="P155" s="110"/>
      <c r="Q155" s="139">
        <f>O155+1</f>
        <v>6</v>
      </c>
      <c r="S155" s="140">
        <f>fin_case</f>
        <v>4</v>
      </c>
    </row>
    <row r="156" spans="1:38" s="141" customFormat="1" ht="12.75" customHeight="1">
      <c r="A156" s="5"/>
      <c r="B156" s="5"/>
      <c r="C156" s="5"/>
      <c r="D156" s="5"/>
      <c r="E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</row>
    <row r="157" spans="1:38">
      <c r="A157" s="142" t="s">
        <v>196</v>
      </c>
      <c r="C157" s="141"/>
      <c r="D157" s="141"/>
      <c r="E157" s="141"/>
      <c r="G157" s="143" t="s">
        <v>197</v>
      </c>
      <c r="H157" s="143"/>
      <c r="I157" s="143" t="s">
        <v>198</v>
      </c>
      <c r="J157" s="143"/>
      <c r="K157" s="143" t="s">
        <v>199</v>
      </c>
      <c r="L157" s="143"/>
      <c r="M157" s="143" t="s">
        <v>200</v>
      </c>
      <c r="N157" s="143"/>
      <c r="O157" s="143" t="s">
        <v>201</v>
      </c>
      <c r="P157" s="143"/>
      <c r="Q157" s="143" t="s">
        <v>202</v>
      </c>
      <c r="R157" s="143"/>
      <c r="S157" s="143" t="str">
        <f ca="1">OFFSET(E157,0,$S$155*2)</f>
        <v>LBO A</v>
      </c>
      <c r="T157" s="141"/>
      <c r="U157" s="22" t="s">
        <v>203</v>
      </c>
      <c r="W157" s="22" t="s">
        <v>204</v>
      </c>
      <c r="AB157" s="141"/>
      <c r="AC157" s="141"/>
      <c r="AD157" s="141"/>
      <c r="AE157" s="141"/>
      <c r="AF157" s="141"/>
      <c r="AG157" s="141"/>
      <c r="AH157" s="141"/>
      <c r="AI157" s="141"/>
      <c r="AJ157" s="141"/>
      <c r="AK157" s="141"/>
      <c r="AL157" s="141"/>
    </row>
    <row r="158" spans="1:38" ht="13.75" thickBot="1">
      <c r="U158" s="82" t="s">
        <v>30</v>
      </c>
      <c r="W158" s="82" t="s">
        <v>205</v>
      </c>
    </row>
    <row r="159" spans="1:38" ht="12.75" customHeight="1">
      <c r="A159" s="83" t="s">
        <v>206</v>
      </c>
    </row>
    <row r="160" spans="1:38" ht="12.75" customHeight="1">
      <c r="B160" t="s">
        <v>208</v>
      </c>
      <c r="G160" s="144">
        <v>0</v>
      </c>
      <c r="H160" s="76"/>
      <c r="I160" s="77">
        <v>0</v>
      </c>
      <c r="J160" s="76"/>
      <c r="K160" s="77">
        <v>0</v>
      </c>
      <c r="L160" s="76"/>
      <c r="M160" s="74">
        <f>I72-min_cash</f>
        <v>116.60599999999999</v>
      </c>
      <c r="N160" s="76"/>
      <c r="O160" s="74">
        <f>M160</f>
        <v>116.60599999999999</v>
      </c>
      <c r="P160" s="76"/>
      <c r="Q160" s="74">
        <f>O160</f>
        <v>116.60599999999999</v>
      </c>
      <c r="S160" s="136">
        <f t="shared" ref="S160:S175" ca="1" si="8">OFFSET(E160,0,$S$155*2)</f>
        <v>116.60599999999999</v>
      </c>
      <c r="U160" s="145">
        <f t="shared" ref="U160:U175" ca="1" si="9">S160/ltm_ebitda</f>
        <v>0.96688225538971828</v>
      </c>
      <c r="W160" s="67">
        <f t="shared" ref="W160:W175" ca="1" si="10">S160/$S$176</f>
        <v>0.14303229720995186</v>
      </c>
    </row>
    <row r="161" spans="2:23" ht="12.75" customHeight="1">
      <c r="B161" t="s">
        <v>209</v>
      </c>
      <c r="G161" s="43">
        <v>0</v>
      </c>
      <c r="I161" s="146">
        <f>I182</f>
        <v>230</v>
      </c>
      <c r="J161" s="37"/>
      <c r="K161" s="146">
        <f>K182</f>
        <v>230</v>
      </c>
      <c r="L161" s="37"/>
      <c r="M161" s="146">
        <f>M182</f>
        <v>230</v>
      </c>
      <c r="N161" s="37"/>
      <c r="O161" s="146">
        <f>O182</f>
        <v>230</v>
      </c>
      <c r="P161" s="37"/>
      <c r="Q161" s="146">
        <f>Q182</f>
        <v>230</v>
      </c>
      <c r="S161" s="146">
        <f t="shared" ca="1" si="8"/>
        <v>230</v>
      </c>
      <c r="U161" s="145">
        <f t="shared" ca="1" si="9"/>
        <v>1.9071310116086242</v>
      </c>
      <c r="W161" s="67">
        <f t="shared" ca="1" si="10"/>
        <v>0.28212466218109639</v>
      </c>
    </row>
    <row r="162" spans="2:23" ht="12.75" customHeight="1">
      <c r="B162" t="s">
        <v>225</v>
      </c>
      <c r="G162" s="43">
        <v>0</v>
      </c>
      <c r="H162" s="37"/>
      <c r="I162" s="146">
        <f>I185</f>
        <v>0</v>
      </c>
      <c r="J162" s="37"/>
      <c r="K162" s="146">
        <f>K185</f>
        <v>0</v>
      </c>
      <c r="L162" s="37"/>
      <c r="M162" s="146">
        <f>M185</f>
        <v>0</v>
      </c>
      <c r="N162" s="37"/>
      <c r="O162" s="146">
        <f>O185</f>
        <v>0</v>
      </c>
      <c r="P162" s="37"/>
      <c r="Q162" s="146">
        <f>Q185</f>
        <v>0</v>
      </c>
      <c r="S162" s="146">
        <f t="shared" ca="1" si="8"/>
        <v>0</v>
      </c>
      <c r="U162" s="145">
        <f t="shared" ca="1" si="9"/>
        <v>0</v>
      </c>
      <c r="W162" s="67">
        <f t="shared" ca="1" si="10"/>
        <v>0</v>
      </c>
    </row>
    <row r="163" spans="2:23">
      <c r="B163" t="s">
        <v>182</v>
      </c>
      <c r="G163" s="43">
        <v>0</v>
      </c>
      <c r="H163" s="37"/>
      <c r="I163" s="43">
        <v>0</v>
      </c>
      <c r="J163" s="37"/>
      <c r="K163" s="43">
        <v>0</v>
      </c>
      <c r="L163" s="37"/>
      <c r="M163" s="43">
        <v>0</v>
      </c>
      <c r="N163" s="37"/>
      <c r="O163" s="43">
        <v>0</v>
      </c>
      <c r="P163" s="37"/>
      <c r="Q163" s="43">
        <v>0</v>
      </c>
      <c r="S163" s="146">
        <f t="shared" ca="1" si="8"/>
        <v>0</v>
      </c>
      <c r="U163" s="145">
        <f t="shared" ca="1" si="9"/>
        <v>0</v>
      </c>
      <c r="W163" s="67">
        <f t="shared" ca="1" si="10"/>
        <v>0</v>
      </c>
    </row>
    <row r="164" spans="2:23">
      <c r="B164" s="84" t="s">
        <v>183</v>
      </c>
      <c r="C164" s="84"/>
      <c r="G164" s="43">
        <v>0</v>
      </c>
      <c r="H164" s="37"/>
      <c r="I164" s="39">
        <f ca="1">I190-SUM(I165:I175,I160:I163)</f>
        <v>-29.209183673469397</v>
      </c>
      <c r="J164" s="37"/>
      <c r="K164" s="39">
        <f ca="1">K190-SUM(K165:K175,K160:K163)</f>
        <v>-73.979591836734699</v>
      </c>
      <c r="L164" s="37"/>
      <c r="M164" s="38">
        <v>150</v>
      </c>
      <c r="N164" s="37"/>
      <c r="O164" s="38">
        <v>0</v>
      </c>
      <c r="P164" s="37"/>
      <c r="Q164" s="38">
        <v>50</v>
      </c>
      <c r="S164" s="146">
        <f t="shared" ca="1" si="8"/>
        <v>150</v>
      </c>
      <c r="U164" s="145">
        <f t="shared" ca="1" si="9"/>
        <v>1.2437810945273635</v>
      </c>
      <c r="W164" s="67">
        <f t="shared" ca="1" si="10"/>
        <v>0.18399434490071506</v>
      </c>
    </row>
    <row r="165" spans="2:23">
      <c r="B165" s="84" t="s">
        <v>184</v>
      </c>
      <c r="C165" s="84"/>
      <c r="G165" s="43">
        <v>0</v>
      </c>
      <c r="H165" s="37"/>
      <c r="I165" s="38">
        <v>0</v>
      </c>
      <c r="J165" s="37"/>
      <c r="K165" s="38">
        <v>0</v>
      </c>
      <c r="L165" s="37"/>
      <c r="M165" s="38">
        <v>0</v>
      </c>
      <c r="N165" s="37"/>
      <c r="O165" s="38">
        <v>75</v>
      </c>
      <c r="P165" s="37"/>
      <c r="Q165" s="38">
        <v>0</v>
      </c>
      <c r="S165" s="146">
        <f t="shared" ca="1" si="8"/>
        <v>0</v>
      </c>
      <c r="U165" s="145">
        <f t="shared" ca="1" si="9"/>
        <v>0</v>
      </c>
      <c r="W165" s="67">
        <f t="shared" ca="1" si="10"/>
        <v>0</v>
      </c>
    </row>
    <row r="166" spans="2:23">
      <c r="B166" s="84" t="s">
        <v>185</v>
      </c>
      <c r="C166" s="84"/>
      <c r="G166" s="43">
        <v>0</v>
      </c>
      <c r="H166" s="37"/>
      <c r="I166" s="38">
        <v>50</v>
      </c>
      <c r="J166" s="37"/>
      <c r="K166" s="38">
        <v>100</v>
      </c>
      <c r="L166" s="37"/>
      <c r="M166" s="38">
        <v>75</v>
      </c>
      <c r="N166" s="37"/>
      <c r="O166" s="38">
        <v>100</v>
      </c>
      <c r="P166" s="37"/>
      <c r="Q166" s="38">
        <v>100</v>
      </c>
      <c r="S166" s="146">
        <f t="shared" ca="1" si="8"/>
        <v>75</v>
      </c>
      <c r="U166" s="145">
        <f t="shared" ca="1" si="9"/>
        <v>0.62189054726368176</v>
      </c>
      <c r="W166" s="67">
        <f t="shared" ca="1" si="10"/>
        <v>9.1997172450357531E-2</v>
      </c>
    </row>
    <row r="167" spans="2:23">
      <c r="B167" s="84" t="s">
        <v>186</v>
      </c>
      <c r="C167" s="84"/>
      <c r="G167" s="43">
        <v>0</v>
      </c>
      <c r="H167" s="37"/>
      <c r="I167" s="43">
        <v>0</v>
      </c>
      <c r="J167" s="37"/>
      <c r="K167" s="43">
        <v>0</v>
      </c>
      <c r="L167" s="37"/>
      <c r="M167" s="43">
        <v>0</v>
      </c>
      <c r="N167" s="37"/>
      <c r="O167" s="43">
        <v>0</v>
      </c>
      <c r="P167" s="37"/>
      <c r="Q167" s="43">
        <v>50</v>
      </c>
      <c r="S167" s="146">
        <f t="shared" ca="1" si="8"/>
        <v>0</v>
      </c>
      <c r="U167" s="145">
        <f t="shared" ca="1" si="9"/>
        <v>0</v>
      </c>
      <c r="W167" s="67">
        <f t="shared" ca="1" si="10"/>
        <v>0</v>
      </c>
    </row>
    <row r="168" spans="2:23">
      <c r="B168" s="84" t="s">
        <v>187</v>
      </c>
      <c r="C168" s="84"/>
      <c r="G168" s="43">
        <v>0</v>
      </c>
      <c r="H168" s="37"/>
      <c r="I168" s="43">
        <v>0</v>
      </c>
      <c r="J168" s="37"/>
      <c r="K168" s="43">
        <v>0</v>
      </c>
      <c r="L168" s="37"/>
      <c r="M168" s="43">
        <v>0</v>
      </c>
      <c r="N168" s="37"/>
      <c r="O168" s="43">
        <v>0</v>
      </c>
      <c r="P168" s="37"/>
      <c r="Q168" s="43">
        <v>0</v>
      </c>
      <c r="S168" s="146">
        <f t="shared" ca="1" si="8"/>
        <v>0</v>
      </c>
      <c r="U168" s="145">
        <f t="shared" ca="1" si="9"/>
        <v>0</v>
      </c>
      <c r="W168" s="67">
        <f t="shared" ca="1" si="10"/>
        <v>0</v>
      </c>
    </row>
    <row r="169" spans="2:23">
      <c r="B169" s="84" t="s">
        <v>188</v>
      </c>
      <c r="C169" s="84"/>
      <c r="G169" s="43">
        <v>0</v>
      </c>
      <c r="H169" s="37"/>
      <c r="I169" s="43">
        <v>0</v>
      </c>
      <c r="J169" s="37"/>
      <c r="K169" s="43">
        <v>0</v>
      </c>
      <c r="L169" s="37"/>
      <c r="M169" s="43">
        <v>0</v>
      </c>
      <c r="N169" s="37"/>
      <c r="O169" s="43">
        <v>0</v>
      </c>
      <c r="P169" s="37"/>
      <c r="Q169" s="43">
        <v>0</v>
      </c>
      <c r="S169" s="146">
        <f t="shared" ca="1" si="8"/>
        <v>0</v>
      </c>
      <c r="U169" s="145">
        <f t="shared" ca="1" si="9"/>
        <v>0</v>
      </c>
      <c r="W169" s="67">
        <f t="shared" ca="1" si="10"/>
        <v>0</v>
      </c>
    </row>
    <row r="170" spans="2:23">
      <c r="B170" s="84" t="s">
        <v>189</v>
      </c>
      <c r="C170" s="84"/>
      <c r="G170" s="43">
        <v>0</v>
      </c>
      <c r="H170" s="37"/>
      <c r="I170" s="43">
        <v>0</v>
      </c>
      <c r="J170" s="37"/>
      <c r="K170" s="43">
        <v>0</v>
      </c>
      <c r="L170" s="37"/>
      <c r="M170" s="43">
        <v>10</v>
      </c>
      <c r="N170" s="37"/>
      <c r="O170" s="43">
        <v>75</v>
      </c>
      <c r="P170" s="37"/>
      <c r="Q170" s="43">
        <v>0</v>
      </c>
      <c r="S170" s="146">
        <f t="shared" ca="1" si="8"/>
        <v>10</v>
      </c>
      <c r="U170" s="145">
        <f t="shared" ca="1" si="9"/>
        <v>8.2918739635157571E-2</v>
      </c>
      <c r="W170" s="67">
        <f t="shared" ca="1" si="10"/>
        <v>1.2266289660047671E-2</v>
      </c>
    </row>
    <row r="171" spans="2:23">
      <c r="B171" s="84" t="s">
        <v>190</v>
      </c>
      <c r="C171" s="84"/>
      <c r="G171" s="43">
        <v>0</v>
      </c>
      <c r="H171" s="37"/>
      <c r="I171" s="43">
        <v>0</v>
      </c>
      <c r="J171" s="37"/>
      <c r="K171" s="43">
        <v>0</v>
      </c>
      <c r="L171" s="37"/>
      <c r="M171" s="43">
        <v>0</v>
      </c>
      <c r="N171" s="37"/>
      <c r="O171" s="43">
        <v>0</v>
      </c>
      <c r="P171" s="37"/>
      <c r="Q171" s="43">
        <v>0</v>
      </c>
      <c r="S171" s="146">
        <f t="shared" ca="1" si="8"/>
        <v>0</v>
      </c>
      <c r="U171" s="145">
        <f t="shared" ca="1" si="9"/>
        <v>0</v>
      </c>
      <c r="W171" s="67">
        <f t="shared" ca="1" si="10"/>
        <v>0</v>
      </c>
    </row>
    <row r="172" spans="2:23">
      <c r="B172" t="s">
        <v>210</v>
      </c>
      <c r="G172" s="43">
        <v>0</v>
      </c>
      <c r="I172" s="43">
        <v>0</v>
      </c>
      <c r="K172" s="43">
        <v>0</v>
      </c>
      <c r="M172" s="147">
        <f>M190-SUM(M173:M175,M160:M171)</f>
        <v>233.6364471574999</v>
      </c>
      <c r="O172" s="147">
        <f>O190-SUM(O173:O175,O160:O171)</f>
        <v>217.5114471574999</v>
      </c>
      <c r="Q172" s="147">
        <f>Q190-SUM(Q173:Q175,Q160:Q171)</f>
        <v>248.6989471574999</v>
      </c>
      <c r="S172" s="146">
        <f t="shared" ca="1" si="8"/>
        <v>233.6364471574999</v>
      </c>
      <c r="U172" s="145">
        <f t="shared" ca="1" si="9"/>
        <v>1.9372839731135985</v>
      </c>
      <c r="W172" s="67">
        <f t="shared" ca="1" si="10"/>
        <v>0.2865852335978315</v>
      </c>
    </row>
    <row r="173" spans="2:23">
      <c r="B173" t="s">
        <v>211</v>
      </c>
      <c r="G173" s="43">
        <v>0</v>
      </c>
      <c r="I173" s="43">
        <v>0</v>
      </c>
      <c r="K173" s="43">
        <v>0</v>
      </c>
      <c r="M173" s="43">
        <v>0</v>
      </c>
      <c r="O173" s="43">
        <v>0</v>
      </c>
      <c r="Q173" s="43">
        <v>20</v>
      </c>
      <c r="S173" s="146">
        <f t="shared" ca="1" si="8"/>
        <v>0</v>
      </c>
      <c r="U173" s="145">
        <f t="shared" ca="1" si="9"/>
        <v>0</v>
      </c>
      <c r="W173" s="67">
        <f t="shared" ca="1" si="10"/>
        <v>0</v>
      </c>
    </row>
    <row r="174" spans="2:23">
      <c r="B174" t="s">
        <v>212</v>
      </c>
      <c r="G174" s="43">
        <v>0</v>
      </c>
      <c r="I174" s="43">
        <v>0</v>
      </c>
      <c r="K174" s="43">
        <v>0</v>
      </c>
      <c r="M174" s="43">
        <v>0</v>
      </c>
      <c r="O174" s="43">
        <v>0</v>
      </c>
      <c r="Q174" s="43">
        <v>0</v>
      </c>
      <c r="S174" s="146">
        <f t="shared" ca="1" si="8"/>
        <v>0</v>
      </c>
      <c r="U174" s="145">
        <f t="shared" ca="1" si="9"/>
        <v>0</v>
      </c>
      <c r="W174" s="67">
        <f t="shared" ca="1" si="10"/>
        <v>0</v>
      </c>
    </row>
    <row r="175" spans="2:23" ht="13.5" customHeight="1" thickBot="1">
      <c r="B175" t="s">
        <v>66</v>
      </c>
      <c r="G175" s="43">
        <v>0</v>
      </c>
      <c r="I175" s="43">
        <v>0</v>
      </c>
      <c r="K175" s="43">
        <v>0</v>
      </c>
      <c r="M175" s="43">
        <v>0</v>
      </c>
      <c r="O175" s="43">
        <v>0</v>
      </c>
      <c r="Q175" s="43">
        <v>0</v>
      </c>
      <c r="S175" s="146">
        <f t="shared" ca="1" si="8"/>
        <v>0</v>
      </c>
      <c r="U175" s="145">
        <f t="shared" ca="1" si="9"/>
        <v>0</v>
      </c>
      <c r="W175" s="67">
        <f t="shared" ca="1" si="10"/>
        <v>0</v>
      </c>
    </row>
    <row r="176" spans="2:23" ht="13.5" customHeight="1" thickBot="1">
      <c r="C176" s="10" t="s">
        <v>207</v>
      </c>
      <c r="G176" s="106">
        <f>SUM(G160:G175)</f>
        <v>0</v>
      </c>
      <c r="I176" s="106">
        <f ca="1">SUM(I160:I175)</f>
        <v>250.7908163265306</v>
      </c>
      <c r="K176" s="106">
        <f ca="1">SUM(K160:K175)</f>
        <v>256.0204081632653</v>
      </c>
      <c r="M176" s="106">
        <f>SUM(M160:M175)</f>
        <v>815.2424471574999</v>
      </c>
      <c r="O176" s="106">
        <f>SUM(O160:O175)</f>
        <v>814.1174471574999</v>
      </c>
      <c r="Q176" s="106">
        <f>SUM(Q160:Q175)</f>
        <v>815.3049471574999</v>
      </c>
      <c r="S176" s="148">
        <f ca="1">SUM(S160:S175)</f>
        <v>815.2424471574999</v>
      </c>
    </row>
    <row r="177" spans="1:38" ht="13.75" thickTop="1"/>
    <row r="178" spans="1:38" s="76" customFormat="1" ht="12.75" customHeight="1">
      <c r="A178" s="83" t="s">
        <v>213</v>
      </c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</row>
    <row r="179" spans="1:38" ht="12.75" customHeight="1">
      <c r="A179" s="76"/>
      <c r="B179" s="76" t="s">
        <v>219</v>
      </c>
      <c r="C179" s="76"/>
      <c r="D179" s="76"/>
      <c r="F179" s="76"/>
      <c r="G179" s="144">
        <v>0</v>
      </c>
      <c r="H179" s="76"/>
      <c r="I179" s="77">
        <v>0</v>
      </c>
      <c r="J179" s="76"/>
      <c r="K179" s="77">
        <v>0</v>
      </c>
      <c r="L179" s="76"/>
      <c r="M179" s="74">
        <f>Y14</f>
        <v>562.98612749999995</v>
      </c>
      <c r="N179" s="76"/>
      <c r="O179" s="74">
        <f>M179</f>
        <v>562.98612749999995</v>
      </c>
      <c r="P179" s="76"/>
      <c r="Q179" s="74">
        <f>O179</f>
        <v>562.98612749999995</v>
      </c>
      <c r="R179" s="76"/>
      <c r="S179" s="136">
        <f t="shared" ref="S179:S189" ca="1" si="11">OFFSET(E179,0,$S$155*2)</f>
        <v>562.98612749999995</v>
      </c>
      <c r="T179" s="76"/>
      <c r="U179" s="145">
        <f t="shared" ref="U179:U189" ca="1" si="12">S179/ltm_ebitda</f>
        <v>4.6682100124378119</v>
      </c>
      <c r="V179" s="76"/>
      <c r="W179" s="67">
        <f t="shared" ref="W179:W189" ca="1" si="13">S179/$S$190</f>
        <v>0.6905750914503529</v>
      </c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</row>
    <row r="180" spans="1:38" ht="12.75" customHeight="1">
      <c r="B180" s="76" t="s">
        <v>212</v>
      </c>
      <c r="G180" s="43">
        <v>0</v>
      </c>
      <c r="I180" s="43">
        <v>0</v>
      </c>
      <c r="J180" s="37"/>
      <c r="K180" s="43">
        <v>0</v>
      </c>
      <c r="L180" s="37"/>
      <c r="M180" s="43">
        <v>0</v>
      </c>
      <c r="N180" s="37"/>
      <c r="O180" s="43">
        <v>0</v>
      </c>
      <c r="P180" s="37"/>
      <c r="Q180" s="43">
        <v>0</v>
      </c>
      <c r="S180" s="146">
        <f t="shared" ca="1" si="11"/>
        <v>0</v>
      </c>
      <c r="U180" s="145">
        <f t="shared" ca="1" si="12"/>
        <v>0</v>
      </c>
      <c r="W180" s="67">
        <f t="shared" ca="1" si="13"/>
        <v>0</v>
      </c>
      <c r="AC180" s="60"/>
    </row>
    <row r="181" spans="1:38">
      <c r="B181" s="76" t="s">
        <v>220</v>
      </c>
      <c r="G181" s="43">
        <v>0</v>
      </c>
      <c r="I181" s="38">
        <v>10</v>
      </c>
      <c r="J181" s="37"/>
      <c r="K181" s="38">
        <v>15</v>
      </c>
      <c r="L181" s="37"/>
      <c r="M181" s="38">
        <v>0</v>
      </c>
      <c r="N181" s="37"/>
      <c r="O181" s="38">
        <v>0</v>
      </c>
      <c r="P181" s="37"/>
      <c r="Q181" s="38">
        <v>0</v>
      </c>
      <c r="S181" s="146">
        <f t="shared" ca="1" si="11"/>
        <v>0</v>
      </c>
      <c r="U181" s="145">
        <f t="shared" ca="1" si="12"/>
        <v>0</v>
      </c>
      <c r="W181" s="67">
        <f t="shared" ca="1" si="13"/>
        <v>0</v>
      </c>
      <c r="AC181" s="60"/>
    </row>
    <row r="182" spans="1:38">
      <c r="B182" s="76" t="s">
        <v>221</v>
      </c>
      <c r="G182" s="43">
        <v>0</v>
      </c>
      <c r="I182" s="39">
        <f>(I92+I103)*(1-refi)</f>
        <v>230</v>
      </c>
      <c r="J182" s="37"/>
      <c r="K182" s="39">
        <f>I182</f>
        <v>230</v>
      </c>
      <c r="L182" s="37"/>
      <c r="M182" s="39">
        <f>K182</f>
        <v>230</v>
      </c>
      <c r="N182" s="37"/>
      <c r="O182" s="39">
        <f>M182</f>
        <v>230</v>
      </c>
      <c r="P182" s="37"/>
      <c r="Q182" s="39">
        <f>O182</f>
        <v>230</v>
      </c>
      <c r="S182" s="146">
        <f t="shared" ca="1" si="11"/>
        <v>230</v>
      </c>
      <c r="U182" s="145">
        <f t="shared" ca="1" si="12"/>
        <v>1.9071310116086242</v>
      </c>
      <c r="W182" s="67">
        <f t="shared" ca="1" si="13"/>
        <v>0.28212466218109639</v>
      </c>
    </row>
    <row r="183" spans="1:38">
      <c r="B183" s="76" t="s">
        <v>214</v>
      </c>
      <c r="G183" s="43">
        <v>0</v>
      </c>
      <c r="I183" s="39">
        <f>(I92+I103)*refi</f>
        <v>0</v>
      </c>
      <c r="J183" s="37"/>
      <c r="K183" s="39">
        <f>I183</f>
        <v>0</v>
      </c>
      <c r="L183" s="37"/>
      <c r="M183" s="39">
        <f>K183</f>
        <v>0</v>
      </c>
      <c r="N183" s="37"/>
      <c r="O183" s="39">
        <f>M183</f>
        <v>0</v>
      </c>
      <c r="P183" s="37"/>
      <c r="Q183" s="39">
        <f>O183</f>
        <v>0</v>
      </c>
      <c r="S183" s="146">
        <f t="shared" ca="1" si="11"/>
        <v>0</v>
      </c>
      <c r="U183" s="145">
        <f t="shared" ca="1" si="12"/>
        <v>0</v>
      </c>
      <c r="W183" s="67">
        <f t="shared" ca="1" si="13"/>
        <v>0</v>
      </c>
    </row>
    <row r="184" spans="1:38">
      <c r="B184" s="76" t="s">
        <v>215</v>
      </c>
      <c r="G184" s="43">
        <v>0</v>
      </c>
      <c r="I184" s="43">
        <v>0</v>
      </c>
      <c r="J184" s="37"/>
      <c r="K184" s="43">
        <v>0</v>
      </c>
      <c r="L184" s="37"/>
      <c r="M184" s="43">
        <v>0</v>
      </c>
      <c r="N184" s="37"/>
      <c r="O184" s="43">
        <v>0</v>
      </c>
      <c r="P184" s="37"/>
      <c r="Q184" s="43">
        <v>0</v>
      </c>
      <c r="S184" s="146">
        <f t="shared" ca="1" si="11"/>
        <v>0</v>
      </c>
      <c r="U184" s="145">
        <f t="shared" ca="1" si="12"/>
        <v>0</v>
      </c>
      <c r="W184" s="67">
        <f t="shared" ca="1" si="13"/>
        <v>0</v>
      </c>
    </row>
    <row r="185" spans="1:38">
      <c r="B185" s="76" t="s">
        <v>223</v>
      </c>
      <c r="G185" s="43">
        <v>0</v>
      </c>
      <c r="I185" s="43">
        <v>0</v>
      </c>
      <c r="J185" s="37"/>
      <c r="K185" s="37">
        <f>I185</f>
        <v>0</v>
      </c>
      <c r="L185" s="37"/>
      <c r="M185" s="39">
        <f>L163</f>
        <v>0</v>
      </c>
      <c r="N185" s="37"/>
      <c r="O185" s="39">
        <f>N163</f>
        <v>0</v>
      </c>
      <c r="P185" s="37"/>
      <c r="Q185" s="39">
        <f>P163</f>
        <v>0</v>
      </c>
      <c r="S185" s="146">
        <f t="shared" ca="1" si="11"/>
        <v>0</v>
      </c>
      <c r="U185" s="145">
        <f t="shared" ca="1" si="12"/>
        <v>0</v>
      </c>
      <c r="W185" s="67">
        <f t="shared" ca="1" si="13"/>
        <v>0</v>
      </c>
    </row>
    <row r="186" spans="1:38">
      <c r="B186" s="76" t="s">
        <v>224</v>
      </c>
      <c r="G186" s="43">
        <v>0</v>
      </c>
      <c r="I186" s="39">
        <f>I108</f>
        <v>0</v>
      </c>
      <c r="J186" s="37"/>
      <c r="K186" s="39">
        <f>I186</f>
        <v>0</v>
      </c>
      <c r="L186" s="37"/>
      <c r="M186" s="39">
        <f>K186</f>
        <v>0</v>
      </c>
      <c r="N186" s="37"/>
      <c r="O186" s="39">
        <f>M186</f>
        <v>0</v>
      </c>
      <c r="P186" s="37"/>
      <c r="Q186" s="39">
        <f>O186</f>
        <v>0</v>
      </c>
      <c r="S186" s="146">
        <f t="shared" ca="1" si="11"/>
        <v>0</v>
      </c>
      <c r="U186" s="145">
        <f t="shared" ca="1" si="12"/>
        <v>0</v>
      </c>
      <c r="W186" s="67">
        <f t="shared" ca="1" si="13"/>
        <v>0</v>
      </c>
    </row>
    <row r="187" spans="1:38">
      <c r="B187" s="76" t="s">
        <v>216</v>
      </c>
      <c r="G187" s="43">
        <v>0</v>
      </c>
      <c r="I187" s="39">
        <f>I179*$G201+I179*$G200+SUM($S$213:$S$217)</f>
        <v>8.5</v>
      </c>
      <c r="J187" s="37"/>
      <c r="K187" s="39">
        <f>K179*$G201+K179*$G200+SUM($S$213:$S$217)</f>
        <v>8.5</v>
      </c>
      <c r="L187" s="37"/>
      <c r="M187" s="39">
        <f>M179*$G201+M179*$G200+SUM($S$213:$S$217)</f>
        <v>15.818819657499999</v>
      </c>
      <c r="N187" s="37"/>
      <c r="O187" s="39">
        <f>O179*$G201+O179*$G200+SUM($S$213:$S$217)</f>
        <v>15.818819657499999</v>
      </c>
      <c r="P187" s="37"/>
      <c r="Q187" s="39">
        <f>Q179*$G201+Q179*$G200+SUM($S$213:$S$217)</f>
        <v>15.818819657499999</v>
      </c>
      <c r="S187" s="146">
        <f t="shared" ca="1" si="11"/>
        <v>15.818819657499999</v>
      </c>
      <c r="U187" s="145">
        <f t="shared" ca="1" si="12"/>
        <v>0.1311676588515755</v>
      </c>
      <c r="W187" s="67">
        <f t="shared" ca="1" si="13"/>
        <v>1.9403822399895108E-2</v>
      </c>
    </row>
    <row r="188" spans="1:38">
      <c r="B188" t="s">
        <v>88</v>
      </c>
      <c r="G188" s="38">
        <v>0</v>
      </c>
      <c r="I188" s="39">
        <f ca="1">$S$203+SUMPRODUCT(I164:I169,$G204:$G209)</f>
        <v>2.2908163265306123</v>
      </c>
      <c r="J188" s="37"/>
      <c r="K188" s="39">
        <f ca="1">$S$203+SUMPRODUCT(K164:K169,$G204:$G209)</f>
        <v>2.5204081632653059</v>
      </c>
      <c r="L188" s="37"/>
      <c r="M188" s="39">
        <f>$S$203+SUMPRODUCT(M164:M169,$G204:$G209)</f>
        <v>6.4375</v>
      </c>
      <c r="N188" s="37"/>
      <c r="O188" s="39">
        <f>$S$203+SUMPRODUCT(O164:O169,$G204:$G209)</f>
        <v>5.3125</v>
      </c>
      <c r="P188" s="37"/>
      <c r="Q188" s="39">
        <f>$S$203+SUMPRODUCT(Q164:Q169,$G204:$G209)</f>
        <v>6.5</v>
      </c>
      <c r="S188" s="146">
        <f t="shared" ca="1" si="11"/>
        <v>6.4375</v>
      </c>
      <c r="U188" s="145">
        <f t="shared" ca="1" si="12"/>
        <v>5.3378938640132684E-2</v>
      </c>
      <c r="W188" s="67">
        <f t="shared" ca="1" si="13"/>
        <v>7.8964239686556883E-3</v>
      </c>
      <c r="AC188" s="149"/>
    </row>
    <row r="189" spans="1:38" ht="13.5" customHeight="1" thickBot="1">
      <c r="B189" s="76" t="s">
        <v>66</v>
      </c>
      <c r="G189" s="43">
        <v>0</v>
      </c>
      <c r="I189" s="37">
        <f>G189</f>
        <v>0</v>
      </c>
      <c r="J189" s="37"/>
      <c r="K189" s="37">
        <f>I189</f>
        <v>0</v>
      </c>
      <c r="L189" s="37"/>
      <c r="M189" s="37">
        <f>K189</f>
        <v>0</v>
      </c>
      <c r="N189" s="37"/>
      <c r="O189" s="37">
        <f>M189</f>
        <v>0</v>
      </c>
      <c r="P189" s="37"/>
      <c r="Q189" s="37">
        <f>O189</f>
        <v>0</v>
      </c>
      <c r="S189" s="146">
        <f t="shared" ca="1" si="11"/>
        <v>0</v>
      </c>
      <c r="U189" s="145">
        <f t="shared" ca="1" si="12"/>
        <v>0</v>
      </c>
      <c r="W189" s="67">
        <f t="shared" ca="1" si="13"/>
        <v>0</v>
      </c>
    </row>
    <row r="190" spans="1:38" ht="13.5" customHeight="1" thickBot="1">
      <c r="C190" s="10" t="s">
        <v>217</v>
      </c>
      <c r="G190" s="106">
        <f>SUM(G179:G189)</f>
        <v>0</v>
      </c>
      <c r="I190" s="106">
        <f ca="1">SUM(I179:I189)</f>
        <v>250.7908163265306</v>
      </c>
      <c r="K190" s="106">
        <f ca="1">SUM(K179:K189)</f>
        <v>256.0204081632653</v>
      </c>
      <c r="M190" s="106">
        <f>SUM(M179:M189)</f>
        <v>815.2424471574999</v>
      </c>
      <c r="O190" s="106">
        <f>SUM(O179:O189)</f>
        <v>814.1174471574999</v>
      </c>
      <c r="Q190" s="106">
        <f>SUM(Q179:Q189)</f>
        <v>815.3049471574999</v>
      </c>
      <c r="S190" s="106">
        <f ca="1">SUM(S179:S189)</f>
        <v>815.2424471574999</v>
      </c>
    </row>
    <row r="191" spans="1:38" ht="13.5" customHeight="1" thickTop="1">
      <c r="G191" s="47"/>
      <c r="I191" s="47"/>
      <c r="K191" s="47"/>
      <c r="M191" s="47"/>
      <c r="O191" s="47"/>
      <c r="Q191" s="47"/>
      <c r="S191" s="47"/>
    </row>
    <row r="192" spans="1:38">
      <c r="A192" t="s">
        <v>218</v>
      </c>
      <c r="G192" s="150">
        <v>0</v>
      </c>
      <c r="H192" s="151"/>
      <c r="I192" s="150">
        <v>0</v>
      </c>
      <c r="J192" s="151"/>
      <c r="K192" s="150">
        <v>0</v>
      </c>
      <c r="L192" s="151"/>
      <c r="M192" s="150">
        <v>1</v>
      </c>
      <c r="N192" s="151"/>
      <c r="O192" s="152">
        <v>1</v>
      </c>
      <c r="P192" s="153"/>
      <c r="Q192" s="152">
        <v>1</v>
      </c>
      <c r="S192" s="154">
        <f ca="1">OFFSET(E192,0,$S$155*2)</f>
        <v>1</v>
      </c>
    </row>
    <row r="193" spans="1:39" s="19" customFormat="1">
      <c r="A193" s="5"/>
      <c r="B193" s="5"/>
      <c r="C193" s="5"/>
      <c r="D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</row>
    <row r="194" spans="1:39">
      <c r="A194" s="19" t="s">
        <v>111</v>
      </c>
      <c r="B194" s="19"/>
      <c r="C194" s="19"/>
      <c r="D194" s="19"/>
      <c r="F194" s="19"/>
      <c r="G194" s="109">
        <f>G190-G176</f>
        <v>0</v>
      </c>
      <c r="H194" s="19"/>
      <c r="I194" s="109">
        <f ca="1">I190-I176</f>
        <v>0</v>
      </c>
      <c r="J194" s="19"/>
      <c r="K194" s="109">
        <f ca="1">K190-K176</f>
        <v>0</v>
      </c>
      <c r="L194" s="19"/>
      <c r="M194" s="109">
        <f>M190-M176</f>
        <v>0</v>
      </c>
      <c r="N194" s="19"/>
      <c r="O194" s="109">
        <f>O190-O176</f>
        <v>0</v>
      </c>
      <c r="P194" s="19"/>
      <c r="Q194" s="109">
        <f>Q190-Q176</f>
        <v>0</v>
      </c>
      <c r="R194" s="19"/>
      <c r="S194" s="109">
        <f ca="1">S190-S176</f>
        <v>0</v>
      </c>
      <c r="T194" s="19"/>
      <c r="U194" s="19"/>
      <c r="V194" s="19"/>
      <c r="W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</row>
    <row r="196" spans="1:39">
      <c r="A196" s="4" t="s">
        <v>163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</row>
    <row r="197" spans="1:39">
      <c r="A197" s="3" t="str">
        <f>$A$5</f>
        <v>($ in millions, except per share data)</v>
      </c>
    </row>
    <row r="198" spans="1:39" ht="13.5" customHeight="1" thickBot="1">
      <c r="G198" s="130" t="s">
        <v>164</v>
      </c>
      <c r="H198" s="131"/>
      <c r="I198" s="132" t="s">
        <v>165</v>
      </c>
      <c r="J198" s="132"/>
      <c r="K198" s="132"/>
      <c r="L198" s="132"/>
      <c r="M198" s="132"/>
      <c r="N198" s="132"/>
      <c r="O198" s="132"/>
      <c r="P198" s="132"/>
      <c r="Q198" s="132"/>
      <c r="R198" s="133"/>
      <c r="S198" s="82" t="s">
        <v>166</v>
      </c>
      <c r="U198" s="132" t="s">
        <v>167</v>
      </c>
      <c r="V198" s="132"/>
      <c r="W198" s="132"/>
      <c r="X198" s="132"/>
      <c r="Y198" s="132"/>
      <c r="Z198" s="132"/>
      <c r="AA198" s="132"/>
      <c r="AB198" s="132"/>
      <c r="AC198" s="132"/>
      <c r="AD198" s="132"/>
      <c r="AE198" s="132"/>
      <c r="AF198" s="132"/>
      <c r="AG198" s="132"/>
      <c r="AH198" s="132"/>
      <c r="AI198" s="132"/>
    </row>
    <row r="199" spans="1:39">
      <c r="A199" s="83" t="s">
        <v>168</v>
      </c>
      <c r="AM199" s="10"/>
    </row>
    <row r="200" spans="1:39">
      <c r="B200" t="s">
        <v>169</v>
      </c>
      <c r="G200" s="134">
        <v>6.4999999999999997E-3</v>
      </c>
      <c r="I200" s="135" t="s">
        <v>191</v>
      </c>
      <c r="K200" s="134"/>
      <c r="M200" s="134"/>
      <c r="O200" s="134"/>
      <c r="Q200" s="19"/>
      <c r="U200" t="s">
        <v>170</v>
      </c>
    </row>
    <row r="201" spans="1:39">
      <c r="B201" t="s">
        <v>171</v>
      </c>
      <c r="G201" s="134">
        <v>6.4999999999999997E-3</v>
      </c>
      <c r="I201" s="135" t="s">
        <v>191</v>
      </c>
      <c r="K201" s="134"/>
      <c r="M201" s="134"/>
      <c r="O201" s="134"/>
      <c r="Q201" s="19"/>
      <c r="U201" t="s">
        <v>170</v>
      </c>
    </row>
    <row r="202" spans="1:39">
      <c r="A202" s="83" t="s">
        <v>172</v>
      </c>
      <c r="G202" s="19"/>
      <c r="I202" s="19"/>
      <c r="K202" s="19"/>
      <c r="M202" s="19"/>
      <c r="O202" s="19"/>
      <c r="Q202" s="19"/>
    </row>
    <row r="203" spans="1:39">
      <c r="B203" t="s">
        <v>182</v>
      </c>
      <c r="G203" s="134">
        <v>1.7500000000000002E-2</v>
      </c>
      <c r="I203" s="135" t="s">
        <v>173</v>
      </c>
      <c r="K203" s="134"/>
      <c r="M203" s="134"/>
      <c r="O203" s="134"/>
      <c r="Q203" s="136">
        <f>revolver</f>
        <v>100</v>
      </c>
      <c r="S203" s="136">
        <f>G203*Q203</f>
        <v>1.7500000000000002</v>
      </c>
      <c r="U203" t="s">
        <v>174</v>
      </c>
    </row>
    <row r="204" spans="1:39">
      <c r="B204" t="s">
        <v>183</v>
      </c>
      <c r="G204" s="134">
        <v>0.02</v>
      </c>
      <c r="I204" s="135" t="s">
        <v>175</v>
      </c>
      <c r="K204" s="134"/>
      <c r="M204" s="134"/>
      <c r="O204" s="134"/>
      <c r="Q204" s="19"/>
      <c r="U204" t="s">
        <v>174</v>
      </c>
      <c r="AD204" s="137"/>
    </row>
    <row r="205" spans="1:39">
      <c r="B205" t="s">
        <v>184</v>
      </c>
      <c r="G205" s="134">
        <v>1.7500000000000002E-2</v>
      </c>
      <c r="I205" s="135" t="s">
        <v>175</v>
      </c>
      <c r="K205" s="134"/>
      <c r="M205" s="134"/>
      <c r="O205" s="134"/>
      <c r="Q205" s="19"/>
      <c r="U205" t="s">
        <v>174</v>
      </c>
      <c r="AD205" s="137"/>
    </row>
    <row r="206" spans="1:39">
      <c r="B206" t="s">
        <v>185</v>
      </c>
      <c r="G206" s="134">
        <v>2.2499999999999999E-2</v>
      </c>
      <c r="I206" s="135" t="s">
        <v>175</v>
      </c>
      <c r="K206" s="134"/>
      <c r="M206" s="134"/>
      <c r="O206" s="134"/>
      <c r="Q206" s="19"/>
      <c r="U206" t="s">
        <v>174</v>
      </c>
      <c r="AD206" s="137"/>
    </row>
    <row r="207" spans="1:39">
      <c r="B207" t="s">
        <v>186</v>
      </c>
      <c r="G207" s="134">
        <v>0.03</v>
      </c>
      <c r="I207" s="135" t="s">
        <v>175</v>
      </c>
      <c r="K207" s="134"/>
      <c r="M207" s="134"/>
      <c r="O207" s="134"/>
      <c r="Q207" s="19"/>
      <c r="U207" t="s">
        <v>174</v>
      </c>
    </row>
    <row r="208" spans="1:39">
      <c r="B208" t="s">
        <v>187</v>
      </c>
      <c r="G208" s="134">
        <v>0</v>
      </c>
      <c r="I208" s="135" t="s">
        <v>175</v>
      </c>
      <c r="K208" s="134"/>
      <c r="M208" s="134"/>
      <c r="O208" s="134"/>
      <c r="Q208" s="19"/>
      <c r="U208" t="s">
        <v>174</v>
      </c>
    </row>
    <row r="209" spans="1:21">
      <c r="B209" t="s">
        <v>188</v>
      </c>
      <c r="G209" s="134">
        <v>0</v>
      </c>
      <c r="I209" s="135" t="s">
        <v>175</v>
      </c>
      <c r="K209" s="134"/>
      <c r="M209" s="134"/>
      <c r="O209" s="134"/>
      <c r="Q209" s="19"/>
      <c r="U209" t="s">
        <v>174</v>
      </c>
    </row>
    <row r="210" spans="1:21">
      <c r="B210" t="s">
        <v>189</v>
      </c>
      <c r="G210" s="134">
        <v>0</v>
      </c>
      <c r="I210" s="135" t="s">
        <v>175</v>
      </c>
      <c r="K210" s="134"/>
      <c r="M210" s="134"/>
      <c r="O210" s="134"/>
      <c r="Q210" s="19"/>
      <c r="U210" t="s">
        <v>176</v>
      </c>
    </row>
    <row r="211" spans="1:21">
      <c r="B211" t="s">
        <v>190</v>
      </c>
      <c r="G211" s="134">
        <v>0</v>
      </c>
      <c r="I211" s="135" t="s">
        <v>175</v>
      </c>
      <c r="K211" s="134"/>
      <c r="M211" s="134"/>
      <c r="O211" s="134"/>
      <c r="Q211" s="19"/>
      <c r="U211" t="s">
        <v>176</v>
      </c>
    </row>
    <row r="212" spans="1:21">
      <c r="A212" s="83" t="s">
        <v>177</v>
      </c>
    </row>
    <row r="213" spans="1:21">
      <c r="B213" t="s">
        <v>178</v>
      </c>
      <c r="G213" s="77"/>
      <c r="I213" s="77"/>
      <c r="K213" s="77"/>
      <c r="M213" s="77"/>
      <c r="O213" s="77"/>
      <c r="Q213" s="77"/>
      <c r="S213" s="77">
        <v>3</v>
      </c>
      <c r="U213" t="s">
        <v>170</v>
      </c>
    </row>
    <row r="214" spans="1:21">
      <c r="B214" t="s">
        <v>179</v>
      </c>
      <c r="G214" s="38"/>
      <c r="I214" s="38"/>
      <c r="K214" s="38"/>
      <c r="M214" s="38"/>
      <c r="O214" s="38"/>
      <c r="Q214" s="38"/>
      <c r="S214" s="38">
        <v>2.5</v>
      </c>
      <c r="U214" t="s">
        <v>170</v>
      </c>
    </row>
    <row r="215" spans="1:21">
      <c r="B215" t="s">
        <v>180</v>
      </c>
      <c r="G215" s="38"/>
      <c r="I215" s="38"/>
      <c r="K215" s="38"/>
      <c r="M215" s="38"/>
      <c r="O215" s="38"/>
      <c r="Q215" s="38"/>
      <c r="S215" s="38">
        <v>1</v>
      </c>
      <c r="U215" t="s">
        <v>170</v>
      </c>
    </row>
    <row r="216" spans="1:21">
      <c r="B216" t="s">
        <v>66</v>
      </c>
      <c r="G216" s="38"/>
      <c r="I216" s="38"/>
      <c r="K216" s="38"/>
      <c r="M216" s="38"/>
      <c r="O216" s="117"/>
      <c r="Q216" s="38"/>
      <c r="S216" s="38">
        <v>2</v>
      </c>
      <c r="U216" t="s">
        <v>170</v>
      </c>
    </row>
    <row r="217" spans="1:21">
      <c r="B217" t="s">
        <v>181</v>
      </c>
      <c r="G217" s="38"/>
      <c r="I217" s="38"/>
      <c r="K217" s="38"/>
      <c r="M217" s="38"/>
      <c r="O217" s="38"/>
      <c r="Q217" s="38"/>
      <c r="S217" s="38">
        <v>0</v>
      </c>
      <c r="U217" t="s">
        <v>170</v>
      </c>
    </row>
  </sheetData>
  <phoneticPr fontId="12" type="noConversion"/>
  <conditionalFormatting sqref="Q36 G192:Q192">
    <cfRule type="cellIs" dxfId="2" priority="1" stopIfTrue="1" operator="greaterThan">
      <formula>1</formula>
    </cfRule>
    <cfRule type="cellIs" dxfId="1" priority="2" stopIfTrue="1" operator="between">
      <formula>0.00001</formula>
      <formula>0.99999</formula>
    </cfRule>
    <cfRule type="cellIs" dxfId="0" priority="3" stopIfTrue="1" operator="lessThan">
      <formula>0</formula>
    </cfRule>
  </conditionalFormatting>
  <dataValidations disablePrompts="1" count="2">
    <dataValidation type="whole" showInputMessage="1" showErrorMessage="1" errorTitle="Validation Error" error="Enter either a 0 or 1." sqref="Q36">
      <formula1>0</formula1>
      <formula2>1</formula2>
    </dataValidation>
    <dataValidation type="whole" operator="greaterThanOrEqual" showInputMessage="1" showErrorMessage="1" sqref="Y30">
      <formula1>1</formula1>
    </dataValidation>
  </dataValidations>
  <pageMargins left="0.75" right="0.75" top="1" bottom="1" header="0.5" footer="0.5"/>
  <pageSetup paperSize="119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6"/>
  <sheetViews>
    <sheetView showGridLines="0" zoomScale="80" workbookViewId="0"/>
  </sheetViews>
  <sheetFormatPr defaultRowHeight="13"/>
  <cols>
    <col min="1" max="1" width="0.86328125" customWidth="1"/>
    <col min="2" max="3" width="1.7265625" customWidth="1"/>
    <col min="4" max="7" width="9.7265625" customWidth="1"/>
    <col min="8" max="8" width="1.7265625" customWidth="1"/>
    <col min="9" max="9" width="9.7265625" customWidth="1"/>
    <col min="10" max="10" width="1.7265625" customWidth="1"/>
    <col min="11" max="11" width="9.7265625" customWidth="1"/>
    <col min="12" max="12" width="1.7265625" customWidth="1"/>
    <col min="13" max="13" width="9.7265625" customWidth="1"/>
    <col min="14" max="14" width="1.7265625" customWidth="1"/>
    <col min="15" max="15" width="9.7265625" customWidth="1"/>
    <col min="16" max="16" width="1.7265625" customWidth="1"/>
    <col min="17" max="17" width="9.7265625" customWidth="1"/>
    <col min="18" max="18" width="1.7265625" customWidth="1"/>
    <col min="19" max="19" width="9.7265625" customWidth="1"/>
    <col min="20" max="20" width="1.7265625" customWidth="1"/>
    <col min="21" max="21" width="9.7265625" customWidth="1"/>
    <col min="22" max="23" width="0.86328125" customWidth="1"/>
    <col min="24" max="24" width="10.7265625" customWidth="1"/>
  </cols>
  <sheetData>
    <row r="1" spans="1:24" ht="24" customHeight="1" thickBot="1">
      <c r="A1" s="1" t="str">
        <f>tgt&amp;" Income Statement"</f>
        <v>TargetCo Income Statement</v>
      </c>
      <c r="B1" s="18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>
      <c r="A2" s="3" t="s">
        <v>0</v>
      </c>
      <c r="B2" s="19"/>
    </row>
    <row r="4" spans="1:24" ht="13.5" customHeight="1" thickBot="1">
      <c r="G4" s="20" t="str">
        <f>"FY Ended "&amp;TEXT(fye,"mmmm d")&amp;","</f>
        <v>FY Ended September 30,</v>
      </c>
      <c r="H4" s="20"/>
      <c r="I4" s="20"/>
      <c r="J4" s="20"/>
      <c r="K4" s="20"/>
      <c r="M4" s="20" t="str">
        <f>"FY Ending "&amp;TEXT(fye,"mmmm d")&amp;","</f>
        <v>FY Ending September 30,</v>
      </c>
      <c r="N4" s="21"/>
      <c r="O4" s="21"/>
      <c r="P4" s="21"/>
      <c r="Q4" s="21"/>
      <c r="R4" s="21"/>
      <c r="S4" s="21"/>
      <c r="T4" s="21"/>
      <c r="U4" s="21"/>
      <c r="X4" s="22" t="s">
        <v>21</v>
      </c>
    </row>
    <row r="5" spans="1:24" ht="13.5" customHeight="1" thickBot="1">
      <c r="G5" s="23">
        <f>I5-1</f>
        <v>2005</v>
      </c>
      <c r="H5" s="24"/>
      <c r="I5" s="23">
        <f>K5-1</f>
        <v>2006</v>
      </c>
      <c r="K5" s="25">
        <v>2007</v>
      </c>
      <c r="M5" s="26">
        <f>K5+1</f>
        <v>2008</v>
      </c>
      <c r="O5" s="26">
        <f>M5+1</f>
        <v>2009</v>
      </c>
      <c r="Q5" s="26">
        <f>O5+1</f>
        <v>2010</v>
      </c>
      <c r="R5" s="27"/>
      <c r="S5" s="28">
        <f>Q5+1</f>
        <v>2011</v>
      </c>
      <c r="U5" s="28">
        <f>S5+1</f>
        <v>2012</v>
      </c>
      <c r="X5" s="29" t="str">
        <f>M5&amp;"-"&amp;U5</f>
        <v>2008-2012</v>
      </c>
    </row>
    <row r="6" spans="1:24" ht="5.15" customHeight="1"/>
    <row r="7" spans="1:24" s="30" customFormat="1">
      <c r="B7" s="30" t="s">
        <v>22</v>
      </c>
      <c r="G7" s="31">
        <v>370.8</v>
      </c>
      <c r="I7" s="31">
        <v>380.8</v>
      </c>
      <c r="K7" s="31">
        <v>402.5</v>
      </c>
      <c r="M7" s="31">
        <v>458.1</v>
      </c>
      <c r="O7" s="31">
        <v>468</v>
      </c>
      <c r="Q7" s="31">
        <v>470.5</v>
      </c>
      <c r="S7" s="32">
        <f>Q7*(1+S8)</f>
        <v>475.20499999999998</v>
      </c>
      <c r="U7" s="32">
        <f>S7*(1+U8)</f>
        <v>479.95704999999998</v>
      </c>
      <c r="X7" s="33">
        <f>(U7/M7)^(1/(U$5-$M$5))-1</f>
        <v>1.1720432226423716E-2</v>
      </c>
    </row>
    <row r="8" spans="1:24" s="19" customFormat="1" ht="12.75" customHeight="1">
      <c r="C8" s="19" t="s">
        <v>23</v>
      </c>
      <c r="G8" s="34" t="s">
        <v>24</v>
      </c>
      <c r="I8" s="33">
        <f>I7/G7-1</f>
        <v>2.6968716289104577E-2</v>
      </c>
      <c r="K8" s="33">
        <f>K7/I7-1</f>
        <v>5.6985294117646967E-2</v>
      </c>
      <c r="M8" s="33">
        <f>M7/K7-1</f>
        <v>0.1381366459627329</v>
      </c>
      <c r="O8" s="33">
        <f>O7/M7-1</f>
        <v>2.16110019646365E-2</v>
      </c>
      <c r="Q8" s="33">
        <f>Q7/O7-1</f>
        <v>5.3418803418803229E-3</v>
      </c>
      <c r="S8" s="35">
        <v>0.01</v>
      </c>
      <c r="U8" s="33">
        <f>S8</f>
        <v>0.01</v>
      </c>
      <c r="X8" s="36"/>
    </row>
    <row r="9" spans="1:24" ht="5.15" customHeight="1"/>
    <row r="10" spans="1:24" s="37" customFormat="1">
      <c r="B10" s="37" t="s">
        <v>25</v>
      </c>
      <c r="G10" s="38">
        <v>182.5</v>
      </c>
      <c r="I10" s="38">
        <v>188.6</v>
      </c>
      <c r="K10" s="38">
        <v>207.7</v>
      </c>
      <c r="M10" s="38">
        <v>239.6</v>
      </c>
      <c r="O10" s="38">
        <v>249.8</v>
      </c>
      <c r="Q10" s="38">
        <v>252.2</v>
      </c>
      <c r="S10" s="39">
        <f>S11*S7</f>
        <v>254.72199999999998</v>
      </c>
      <c r="U10" s="39">
        <f>U11*U7</f>
        <v>257.26921999999996</v>
      </c>
    </row>
    <row r="11" spans="1:24" s="19" customFormat="1" ht="12.75" customHeight="1" thickBot="1">
      <c r="C11" s="19" t="s">
        <v>26</v>
      </c>
      <c r="G11" s="40">
        <f>G10/G7</f>
        <v>0.49217907227615965</v>
      </c>
      <c r="I11" s="40">
        <f>I10/I7</f>
        <v>0.49527310924369744</v>
      </c>
      <c r="K11" s="40">
        <f>K10/K7</f>
        <v>0.51602484472049681</v>
      </c>
      <c r="M11" s="40">
        <f>M10/M7</f>
        <v>0.52302990613403189</v>
      </c>
      <c r="O11" s="40">
        <f>O10/O7</f>
        <v>0.53376068376068375</v>
      </c>
      <c r="Q11" s="40">
        <f>Q10/Q7</f>
        <v>0.53602550478214661</v>
      </c>
      <c r="S11" s="41">
        <f>Q11</f>
        <v>0.53602550478214661</v>
      </c>
      <c r="U11" s="40">
        <f>S11</f>
        <v>0.53602550478214661</v>
      </c>
      <c r="X11" s="36"/>
    </row>
    <row r="12" spans="1:24">
      <c r="B12" t="s">
        <v>27</v>
      </c>
      <c r="G12" s="42">
        <f>G7-G10</f>
        <v>188.3</v>
      </c>
      <c r="I12" s="42">
        <f>I7-I10</f>
        <v>192.20000000000002</v>
      </c>
      <c r="K12" s="42">
        <f>K7-K10</f>
        <v>194.8</v>
      </c>
      <c r="M12" s="42">
        <f>M7-M10</f>
        <v>218.50000000000003</v>
      </c>
      <c r="O12" s="42">
        <f>O7-O10</f>
        <v>218.2</v>
      </c>
      <c r="Q12" s="42">
        <f>Q7-Q10</f>
        <v>218.3</v>
      </c>
      <c r="S12" s="42">
        <f>S7-S10</f>
        <v>220.483</v>
      </c>
      <c r="U12" s="42">
        <f>U7-U10</f>
        <v>222.68783000000002</v>
      </c>
      <c r="X12" s="33">
        <f>(U12/M12)^(1/(U$5-$M$5))-1</f>
        <v>4.7575088608706739E-3</v>
      </c>
    </row>
    <row r="13" spans="1:24" s="19" customFormat="1" ht="12.75" customHeight="1">
      <c r="C13" s="19" t="s">
        <v>28</v>
      </c>
      <c r="G13" s="40">
        <f>G12/G$7</f>
        <v>0.50782092772384035</v>
      </c>
      <c r="I13" s="40">
        <f>I12/I$7</f>
        <v>0.5047268907563025</v>
      </c>
      <c r="K13" s="40">
        <f>K12/K$7</f>
        <v>0.48397515527950313</v>
      </c>
      <c r="M13" s="40">
        <f>M12/M$7</f>
        <v>0.47697009386596817</v>
      </c>
      <c r="O13" s="40">
        <f>O12/O$7</f>
        <v>0.46623931623931619</v>
      </c>
      <c r="Q13" s="40">
        <f>Q12/Q$7</f>
        <v>0.46397449521785339</v>
      </c>
      <c r="S13" s="40">
        <f>S12/S$7</f>
        <v>0.46397449521785339</v>
      </c>
      <c r="U13" s="40">
        <f>U12/U$7</f>
        <v>0.46397449521785339</v>
      </c>
      <c r="X13" s="36"/>
    </row>
    <row r="14" spans="1:24" ht="5.15" customHeight="1"/>
    <row r="15" spans="1:24" s="37" customFormat="1" ht="12.75" customHeight="1">
      <c r="B15" s="37" t="s">
        <v>29</v>
      </c>
      <c r="G15" s="38">
        <v>46.6</v>
      </c>
      <c r="I15" s="43">
        <v>61.9</v>
      </c>
      <c r="K15" s="38">
        <v>74.8</v>
      </c>
      <c r="M15" s="38">
        <v>88.3</v>
      </c>
      <c r="O15" s="38">
        <v>91.7</v>
      </c>
      <c r="Q15" s="38">
        <v>92.4</v>
      </c>
      <c r="S15" s="39">
        <f>S16*S7</f>
        <v>93.323999999999998</v>
      </c>
      <c r="U15" s="39">
        <f>U16*U7</f>
        <v>94.257239999999996</v>
      </c>
    </row>
    <row r="16" spans="1:24" s="19" customFormat="1" ht="12.75" customHeight="1">
      <c r="C16" s="19" t="s">
        <v>26</v>
      </c>
      <c r="G16" s="40">
        <f>G15/G$7</f>
        <v>0.1256742179072276</v>
      </c>
      <c r="I16" s="40">
        <f>I15/I$7</f>
        <v>0.16255252100840334</v>
      </c>
      <c r="K16" s="40">
        <f>K15/K$7</f>
        <v>0.18583850931677018</v>
      </c>
      <c r="M16" s="40">
        <f>M15/M$7</f>
        <v>0.19275267408862692</v>
      </c>
      <c r="O16" s="40">
        <f>O15/O$7</f>
        <v>0.19594017094017094</v>
      </c>
      <c r="Q16" s="40">
        <f>Q15/Q$7</f>
        <v>0.19638682252922424</v>
      </c>
      <c r="S16" s="41">
        <f>Q16</f>
        <v>0.19638682252922424</v>
      </c>
      <c r="U16" s="40">
        <f>S16</f>
        <v>0.19638682252922424</v>
      </c>
      <c r="X16" s="36"/>
    </row>
    <row r="17" spans="1:24" ht="5.15" customHeight="1"/>
    <row r="18" spans="1:24" ht="5.15" customHeight="1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5"/>
    </row>
    <row r="19" spans="1:24" s="10" customFormat="1">
      <c r="A19" s="46"/>
      <c r="B19" s="46" t="s">
        <v>30</v>
      </c>
      <c r="C19" s="46"/>
      <c r="D19" s="46"/>
      <c r="E19" s="46"/>
      <c r="F19" s="46"/>
      <c r="G19" s="47">
        <f>G12-G15</f>
        <v>141.70000000000002</v>
      </c>
      <c r="H19" s="46"/>
      <c r="I19" s="47">
        <f>I12-I15</f>
        <v>130.30000000000001</v>
      </c>
      <c r="J19" s="46"/>
      <c r="K19" s="47">
        <f>K12-K15</f>
        <v>120.00000000000001</v>
      </c>
      <c r="L19" s="46"/>
      <c r="M19" s="47">
        <f>M12-M15</f>
        <v>130.20000000000005</v>
      </c>
      <c r="N19" s="46"/>
      <c r="O19" s="47">
        <f>O12-O15</f>
        <v>126.49999999999999</v>
      </c>
      <c r="P19" s="46"/>
      <c r="Q19" s="47">
        <f>Q12-Q15</f>
        <v>125.9</v>
      </c>
      <c r="R19" s="46"/>
      <c r="S19" s="47">
        <f>S12-S15</f>
        <v>127.15900000000001</v>
      </c>
      <c r="T19" s="46"/>
      <c r="U19" s="47">
        <f>U12-U15</f>
        <v>128.43059000000002</v>
      </c>
      <c r="V19" s="48"/>
      <c r="X19" s="33">
        <f>(U19/M19)^(1/(U$5-$M$5))-1</f>
        <v>-3.4149375463713438E-3</v>
      </c>
    </row>
    <row r="20" spans="1:24" s="19" customFormat="1" ht="12.75" customHeight="1">
      <c r="A20" s="49"/>
      <c r="B20" s="49"/>
      <c r="C20" s="49" t="s">
        <v>28</v>
      </c>
      <c r="D20" s="49"/>
      <c r="E20" s="49"/>
      <c r="F20" s="49"/>
      <c r="G20" s="50">
        <f>G19/G$7</f>
        <v>0.38214670981661275</v>
      </c>
      <c r="H20" s="49"/>
      <c r="I20" s="50">
        <f>I19/I$7</f>
        <v>0.34217436974789917</v>
      </c>
      <c r="J20" s="49"/>
      <c r="K20" s="50">
        <f>K19/K$7</f>
        <v>0.29813664596273293</v>
      </c>
      <c r="L20" s="49"/>
      <c r="M20" s="50">
        <f>M19/M$7</f>
        <v>0.28421741977734127</v>
      </c>
      <c r="N20" s="49"/>
      <c r="O20" s="50">
        <f>O19/O$7</f>
        <v>0.27029914529914528</v>
      </c>
      <c r="P20" s="49"/>
      <c r="Q20" s="50">
        <f>Q19/Q$7</f>
        <v>0.26758767268862915</v>
      </c>
      <c r="R20" s="49"/>
      <c r="S20" s="50">
        <f>S19/S$7</f>
        <v>0.26758767268862915</v>
      </c>
      <c r="T20" s="49"/>
      <c r="U20" s="50">
        <f>U19/U$7</f>
        <v>0.26758767268862915</v>
      </c>
      <c r="V20" s="51"/>
      <c r="X20" s="36"/>
    </row>
    <row r="21" spans="1:24" ht="5.15" customHeight="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52"/>
    </row>
    <row r="22" spans="1:24" s="37" customFormat="1" ht="12.75" customHeight="1">
      <c r="A22" s="53"/>
      <c r="B22" s="53" t="s">
        <v>31</v>
      </c>
      <c r="C22" s="53"/>
      <c r="D22" s="53"/>
      <c r="E22" s="53"/>
      <c r="F22" s="53"/>
      <c r="G22" s="43">
        <v>14</v>
      </c>
      <c r="H22" s="53"/>
      <c r="I22" s="54">
        <v>11.1</v>
      </c>
      <c r="J22" s="53"/>
      <c r="K22" s="54">
        <v>12.1</v>
      </c>
      <c r="L22" s="53"/>
      <c r="M22" s="54">
        <v>14.1</v>
      </c>
      <c r="N22" s="53"/>
      <c r="O22" s="54">
        <v>14.1</v>
      </c>
      <c r="P22" s="53"/>
      <c r="Q22" s="54">
        <v>14.1</v>
      </c>
      <c r="R22" s="53"/>
      <c r="S22" s="55">
        <f>S23*S7</f>
        <v>14.241</v>
      </c>
      <c r="T22" s="53"/>
      <c r="U22" s="55">
        <f>U23*U7</f>
        <v>14.38341</v>
      </c>
      <c r="V22" s="56"/>
    </row>
    <row r="23" spans="1:24" s="19" customFormat="1" ht="12.75" customHeight="1">
      <c r="A23" s="49"/>
      <c r="B23" s="49"/>
      <c r="C23" s="49" t="s">
        <v>26</v>
      </c>
      <c r="D23" s="49"/>
      <c r="E23" s="49"/>
      <c r="F23" s="49"/>
      <c r="G23" s="50">
        <f>G22/G$7</f>
        <v>3.7756202804746494E-2</v>
      </c>
      <c r="H23" s="49"/>
      <c r="I23" s="50">
        <f>I22/I$7</f>
        <v>2.9149159663865543E-2</v>
      </c>
      <c r="J23" s="49"/>
      <c r="K23" s="50">
        <f>K22/K$7</f>
        <v>3.0062111801242235E-2</v>
      </c>
      <c r="L23" s="49"/>
      <c r="M23" s="50">
        <f>M22/M$7</f>
        <v>3.0779305828421741E-2</v>
      </c>
      <c r="N23" s="49"/>
      <c r="O23" s="50">
        <f>O22/O$7</f>
        <v>3.0128205128205129E-2</v>
      </c>
      <c r="P23" s="49"/>
      <c r="Q23" s="50">
        <f>Q22/Q$7</f>
        <v>2.9968119022316685E-2</v>
      </c>
      <c r="R23" s="49"/>
      <c r="S23" s="57">
        <f>Q23</f>
        <v>2.9968119022316685E-2</v>
      </c>
      <c r="T23" s="49"/>
      <c r="U23" s="50">
        <f>S23</f>
        <v>2.9968119022316685E-2</v>
      </c>
      <c r="V23" s="51"/>
      <c r="X23" s="36"/>
    </row>
    <row r="24" spans="1:24" s="37" customFormat="1" ht="12.75" customHeight="1">
      <c r="A24" s="53"/>
      <c r="B24" s="53" t="s">
        <v>32</v>
      </c>
      <c r="C24" s="53"/>
      <c r="D24" s="53"/>
      <c r="E24" s="53"/>
      <c r="F24" s="53"/>
      <c r="G24" s="43">
        <v>25.7</v>
      </c>
      <c r="H24" s="53"/>
      <c r="I24" s="54">
        <v>18.2</v>
      </c>
      <c r="J24" s="53"/>
      <c r="K24" s="54">
        <v>18.600000000000001</v>
      </c>
      <c r="L24" s="53"/>
      <c r="M24" s="54">
        <v>19.600000000000001</v>
      </c>
      <c r="N24" s="53"/>
      <c r="O24" s="54">
        <v>19.899999999999999</v>
      </c>
      <c r="P24" s="53"/>
      <c r="Q24" s="54">
        <v>20</v>
      </c>
      <c r="R24" s="53"/>
      <c r="S24" s="55">
        <f>Q24</f>
        <v>20</v>
      </c>
      <c r="T24" s="53"/>
      <c r="U24" s="55">
        <f>S24</f>
        <v>20</v>
      </c>
      <c r="V24" s="56"/>
    </row>
    <row r="25" spans="1:24" s="19" customFormat="1" ht="12.75" customHeight="1" thickBot="1">
      <c r="A25" s="49"/>
      <c r="B25" s="49"/>
      <c r="C25" s="49" t="s">
        <v>26</v>
      </c>
      <c r="D25" s="49"/>
      <c r="E25" s="49"/>
      <c r="F25" s="49"/>
      <c r="G25" s="50">
        <f>G24/G$7</f>
        <v>6.9309600862998921E-2</v>
      </c>
      <c r="H25" s="49"/>
      <c r="I25" s="50">
        <f>I24/I$7</f>
        <v>4.779411764705882E-2</v>
      </c>
      <c r="J25" s="49"/>
      <c r="K25" s="50">
        <f>K24/K$7</f>
        <v>4.6211180124223608E-2</v>
      </c>
      <c r="L25" s="49"/>
      <c r="M25" s="50">
        <f>M24/M$7</f>
        <v>4.2785418030997599E-2</v>
      </c>
      <c r="N25" s="49"/>
      <c r="O25" s="50">
        <f>O24/O$7</f>
        <v>4.2521367521367516E-2</v>
      </c>
      <c r="P25" s="49"/>
      <c r="Q25" s="50">
        <f>Q24/Q$7</f>
        <v>4.250797024442083E-2</v>
      </c>
      <c r="R25" s="49"/>
      <c r="S25" s="50">
        <f>S24/S$7</f>
        <v>4.2087099251901815E-2</v>
      </c>
      <c r="T25" s="49"/>
      <c r="U25" s="50">
        <f>U24/U$7</f>
        <v>4.1670395298912685E-2</v>
      </c>
      <c r="V25" s="51"/>
      <c r="X25" s="36"/>
    </row>
    <row r="26" spans="1:24">
      <c r="A26" s="6"/>
      <c r="B26" s="6" t="s">
        <v>33</v>
      </c>
      <c r="C26" s="6"/>
      <c r="D26" s="6"/>
      <c r="E26" s="6"/>
      <c r="F26" s="6"/>
      <c r="G26" s="78">
        <f>G24+G22</f>
        <v>39.700000000000003</v>
      </c>
      <c r="H26" s="79"/>
      <c r="I26" s="78">
        <f>I24+I22</f>
        <v>29.299999999999997</v>
      </c>
      <c r="J26" s="79"/>
      <c r="K26" s="78">
        <f>K24+K22</f>
        <v>30.700000000000003</v>
      </c>
      <c r="L26" s="79"/>
      <c r="M26" s="78">
        <f>M24+M22</f>
        <v>33.700000000000003</v>
      </c>
      <c r="N26" s="79"/>
      <c r="O26" s="78">
        <f>O24+O22</f>
        <v>34</v>
      </c>
      <c r="P26" s="79"/>
      <c r="Q26" s="78">
        <f>Q24+Q22</f>
        <v>34.1</v>
      </c>
      <c r="R26" s="79"/>
      <c r="S26" s="78">
        <f>S24+S22</f>
        <v>34.241</v>
      </c>
      <c r="T26" s="79"/>
      <c r="U26" s="78">
        <f>U24+U22</f>
        <v>34.383409999999998</v>
      </c>
      <c r="V26" s="52"/>
    </row>
    <row r="27" spans="1:24" s="19" customFormat="1" ht="12.75" customHeight="1">
      <c r="A27" s="49"/>
      <c r="B27" s="49"/>
      <c r="C27" s="49" t="s">
        <v>26</v>
      </c>
      <c r="D27" s="49"/>
      <c r="E27" s="49"/>
      <c r="F27" s="49"/>
      <c r="G27" s="50">
        <f>G26/G$7</f>
        <v>0.10706580366774542</v>
      </c>
      <c r="H27" s="49"/>
      <c r="I27" s="50">
        <f>I26/I$7</f>
        <v>7.694327731092436E-2</v>
      </c>
      <c r="J27" s="49"/>
      <c r="K27" s="50">
        <f>K26/K$7</f>
        <v>7.627329192546585E-2</v>
      </c>
      <c r="L27" s="49"/>
      <c r="M27" s="50">
        <f>M26/M$7</f>
        <v>7.356472385941934E-2</v>
      </c>
      <c r="N27" s="49"/>
      <c r="O27" s="50">
        <f>O26/O$7</f>
        <v>7.2649572649572655E-2</v>
      </c>
      <c r="P27" s="49"/>
      <c r="Q27" s="50">
        <f>Q26/Q$7</f>
        <v>7.2476089266737515E-2</v>
      </c>
      <c r="R27" s="49"/>
      <c r="S27" s="50">
        <f>S26/S$7</f>
        <v>7.2055218274218499E-2</v>
      </c>
      <c r="T27" s="49"/>
      <c r="U27" s="50">
        <f>U26/U$7</f>
        <v>7.1638514321229363E-2</v>
      </c>
      <c r="V27" s="51"/>
      <c r="X27" s="36"/>
    </row>
    <row r="28" spans="1:24" ht="5.1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52"/>
    </row>
    <row r="29" spans="1:24" s="37" customFormat="1">
      <c r="A29" s="53"/>
      <c r="B29" s="53" t="s">
        <v>34</v>
      </c>
      <c r="C29" s="53"/>
      <c r="D29" s="53"/>
      <c r="E29" s="53"/>
      <c r="F29" s="53"/>
      <c r="G29" s="54">
        <v>16.5</v>
      </c>
      <c r="H29" s="53"/>
      <c r="I29" s="54">
        <v>13.4</v>
      </c>
      <c r="J29" s="53"/>
      <c r="K29" s="54">
        <v>11.3</v>
      </c>
      <c r="L29" s="53"/>
      <c r="M29" s="54">
        <v>10.8</v>
      </c>
      <c r="N29" s="53"/>
      <c r="O29" s="54">
        <v>10.6</v>
      </c>
      <c r="P29" s="53"/>
      <c r="Q29" s="54">
        <v>10.7</v>
      </c>
      <c r="R29" s="53"/>
      <c r="S29" s="55">
        <f>S30*S7</f>
        <v>10.806999999999999</v>
      </c>
      <c r="T29" s="53"/>
      <c r="U29" s="55">
        <f>U30*U7</f>
        <v>10.915069999999998</v>
      </c>
      <c r="V29" s="56"/>
    </row>
    <row r="30" spans="1:24" s="19" customFormat="1" ht="12.75" customHeight="1">
      <c r="A30" s="49"/>
      <c r="B30" s="49"/>
      <c r="C30" s="49" t="s">
        <v>26</v>
      </c>
      <c r="D30" s="49"/>
      <c r="E30" s="49"/>
      <c r="F30" s="49"/>
      <c r="G30" s="50">
        <f>G29/G$7</f>
        <v>4.4498381877022652E-2</v>
      </c>
      <c r="H30" s="49"/>
      <c r="I30" s="50">
        <f>I29/I$7</f>
        <v>3.5189075630252101E-2</v>
      </c>
      <c r="J30" s="49"/>
      <c r="K30" s="50">
        <f>K29/K$7</f>
        <v>2.8074534161490684E-2</v>
      </c>
      <c r="L30" s="49"/>
      <c r="M30" s="50">
        <f>M29/M$7</f>
        <v>2.3575638506876228E-2</v>
      </c>
      <c r="N30" s="49"/>
      <c r="O30" s="50">
        <f>O29/O$7</f>
        <v>2.2649572649572649E-2</v>
      </c>
      <c r="P30" s="49"/>
      <c r="Q30" s="50">
        <f>Q29/Q$7</f>
        <v>2.2741764080765142E-2</v>
      </c>
      <c r="R30" s="49"/>
      <c r="S30" s="57">
        <f>Q30</f>
        <v>2.2741764080765142E-2</v>
      </c>
      <c r="T30" s="49"/>
      <c r="U30" s="50">
        <f>S30</f>
        <v>2.2741764080765142E-2</v>
      </c>
      <c r="V30" s="51"/>
      <c r="X30" s="36"/>
    </row>
    <row r="31" spans="1:24" ht="5.1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52"/>
    </row>
    <row r="32" spans="1:24" s="10" customFormat="1">
      <c r="A32" s="46"/>
      <c r="B32" s="46" t="s">
        <v>35</v>
      </c>
      <c r="C32" s="46"/>
      <c r="D32" s="46"/>
      <c r="E32" s="46"/>
      <c r="F32" s="46"/>
      <c r="G32" s="47">
        <f>G19-G26-G29</f>
        <v>85.500000000000014</v>
      </c>
      <c r="H32" s="46"/>
      <c r="I32" s="47">
        <f>I19-I26-I29</f>
        <v>87.600000000000009</v>
      </c>
      <c r="J32" s="46"/>
      <c r="K32" s="47">
        <f>K19-K26-K29</f>
        <v>78.000000000000014</v>
      </c>
      <c r="L32" s="46"/>
      <c r="M32" s="47">
        <f>M19-M26-M29</f>
        <v>85.700000000000045</v>
      </c>
      <c r="N32" s="46"/>
      <c r="O32" s="47">
        <f>O19-O26-O29</f>
        <v>81.899999999999991</v>
      </c>
      <c r="P32" s="46"/>
      <c r="Q32" s="47">
        <f>Q19-Q26-Q29</f>
        <v>81.100000000000009</v>
      </c>
      <c r="R32" s="46"/>
      <c r="S32" s="47">
        <f>S19-S26-S29</f>
        <v>82.111000000000004</v>
      </c>
      <c r="T32" s="46"/>
      <c r="U32" s="47">
        <f>U19-U26-U29</f>
        <v>83.132110000000026</v>
      </c>
      <c r="V32" s="48"/>
      <c r="X32" s="33">
        <f>(U32/M32)^(1/(U$5-$M$5))-1</f>
        <v>-7.5766008655852035E-3</v>
      </c>
    </row>
    <row r="33" spans="1:24" s="19" customFormat="1" ht="12.75" customHeight="1">
      <c r="A33" s="49"/>
      <c r="B33" s="49"/>
      <c r="C33" s="49" t="s">
        <v>28</v>
      </c>
      <c r="D33" s="49"/>
      <c r="E33" s="49"/>
      <c r="F33" s="49"/>
      <c r="G33" s="50">
        <f>G32/G$7</f>
        <v>0.2305825242718447</v>
      </c>
      <c r="H33" s="49"/>
      <c r="I33" s="50">
        <f>I32/I$7</f>
        <v>0.2300420168067227</v>
      </c>
      <c r="J33" s="49"/>
      <c r="K33" s="50">
        <f>K32/K$7</f>
        <v>0.19378881987577642</v>
      </c>
      <c r="L33" s="49"/>
      <c r="M33" s="50">
        <f>M32/M$7</f>
        <v>0.18707705741104572</v>
      </c>
      <c r="N33" s="49"/>
      <c r="O33" s="50">
        <f>O32/O$7</f>
        <v>0.17499999999999999</v>
      </c>
      <c r="P33" s="49"/>
      <c r="Q33" s="50">
        <f>Q32/Q$7</f>
        <v>0.17236981934112647</v>
      </c>
      <c r="R33" s="49"/>
      <c r="S33" s="50">
        <f>S32/S$7</f>
        <v>0.1727906903336455</v>
      </c>
      <c r="T33" s="49"/>
      <c r="U33" s="50">
        <f>U32/U$7</f>
        <v>0.17320739428663467</v>
      </c>
      <c r="V33" s="51"/>
      <c r="X33" s="36"/>
    </row>
    <row r="34" spans="1:24" ht="5.1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52"/>
    </row>
    <row r="35" spans="1:24" s="10" customFormat="1">
      <c r="A35" s="46"/>
      <c r="B35" s="46" t="s">
        <v>36</v>
      </c>
      <c r="C35" s="46"/>
      <c r="D35" s="46"/>
      <c r="E35" s="46"/>
      <c r="F35" s="46"/>
      <c r="G35" s="47">
        <f>G32+G24+G29</f>
        <v>127.70000000000002</v>
      </c>
      <c r="H35" s="46"/>
      <c r="I35" s="47">
        <f>I32+I24+I29</f>
        <v>119.20000000000002</v>
      </c>
      <c r="J35" s="46"/>
      <c r="K35" s="47">
        <f>K32+K24+K29</f>
        <v>107.90000000000002</v>
      </c>
      <c r="L35" s="46"/>
      <c r="M35" s="47">
        <f>M32+M24+M29</f>
        <v>116.10000000000004</v>
      </c>
      <c r="N35" s="46"/>
      <c r="O35" s="47">
        <f>O32+O24+O29</f>
        <v>112.39999999999998</v>
      </c>
      <c r="P35" s="46"/>
      <c r="Q35" s="47">
        <f>Q32+Q24+Q29</f>
        <v>111.80000000000001</v>
      </c>
      <c r="R35" s="46"/>
      <c r="S35" s="47">
        <f>S32+S24+S29</f>
        <v>112.91800000000001</v>
      </c>
      <c r="T35" s="46"/>
      <c r="U35" s="47">
        <f>U32+U24+U29</f>
        <v>114.04718000000003</v>
      </c>
      <c r="V35" s="48"/>
      <c r="X35" s="33">
        <f>(U35/M35)^(1/(U$5-$M$5))-1</f>
        <v>-4.4499859100148864E-3</v>
      </c>
    </row>
    <row r="36" spans="1:24" s="19" customFormat="1" ht="12.75" customHeight="1">
      <c r="A36" s="49"/>
      <c r="B36" s="49"/>
      <c r="C36" s="49" t="s">
        <v>28</v>
      </c>
      <c r="D36" s="49"/>
      <c r="E36" s="49"/>
      <c r="F36" s="49"/>
      <c r="G36" s="50">
        <f>G35/G$7</f>
        <v>0.3443905070118663</v>
      </c>
      <c r="H36" s="49"/>
      <c r="I36" s="50">
        <f>I35/I$7</f>
        <v>0.31302521008403367</v>
      </c>
      <c r="J36" s="49"/>
      <c r="K36" s="50">
        <f>K35/K$7</f>
        <v>0.26807453416149074</v>
      </c>
      <c r="L36" s="49"/>
      <c r="M36" s="50">
        <f>M35/M$7</f>
        <v>0.25343811394891952</v>
      </c>
      <c r="N36" s="49"/>
      <c r="O36" s="50">
        <f>O35/O$7</f>
        <v>0.24017094017094012</v>
      </c>
      <c r="P36" s="49"/>
      <c r="Q36" s="50">
        <f>Q35/Q$7</f>
        <v>0.23761955366631246</v>
      </c>
      <c r="R36" s="49"/>
      <c r="S36" s="50">
        <f>S35/S$7</f>
        <v>0.23761955366631246</v>
      </c>
      <c r="T36" s="49"/>
      <c r="U36" s="50">
        <f>U35/U$7</f>
        <v>0.23761955366631249</v>
      </c>
      <c r="V36" s="51"/>
      <c r="X36" s="36"/>
    </row>
    <row r="37" spans="1:24" ht="5.15" customHeight="1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9"/>
    </row>
    <row r="38" spans="1:24" ht="5.15" customHeight="1">
      <c r="C38" s="60"/>
    </row>
    <row r="39" spans="1:24" s="37" customFormat="1">
      <c r="B39" s="37" t="s">
        <v>37</v>
      </c>
      <c r="G39" s="38">
        <v>4.9000000000000004</v>
      </c>
      <c r="I39" s="38">
        <v>0.9</v>
      </c>
      <c r="K39" s="61">
        <v>0</v>
      </c>
      <c r="M39" s="38">
        <v>-2.4</v>
      </c>
      <c r="O39" s="61">
        <v>0</v>
      </c>
      <c r="P39" s="5"/>
      <c r="Q39" s="61">
        <v>0</v>
      </c>
      <c r="S39" s="62">
        <f>Q39</f>
        <v>0</v>
      </c>
      <c r="T39" s="63"/>
      <c r="U39" s="62">
        <f>S39</f>
        <v>0</v>
      </c>
    </row>
    <row r="40" spans="1:24">
      <c r="B40" t="s">
        <v>38</v>
      </c>
      <c r="G40" s="61">
        <v>0</v>
      </c>
      <c r="I40" s="61">
        <v>0</v>
      </c>
      <c r="K40" s="61">
        <v>0</v>
      </c>
      <c r="M40" s="61">
        <v>0</v>
      </c>
      <c r="O40" s="61">
        <v>0</v>
      </c>
      <c r="Q40" s="61">
        <v>0</v>
      </c>
      <c r="S40" s="62">
        <f>Q40</f>
        <v>0</v>
      </c>
      <c r="T40" s="63"/>
      <c r="U40" s="62">
        <f>S40</f>
        <v>0</v>
      </c>
    </row>
    <row r="41" spans="1:24">
      <c r="B41" t="s">
        <v>39</v>
      </c>
      <c r="G41" s="61">
        <v>0</v>
      </c>
      <c r="I41" s="61">
        <v>0</v>
      </c>
      <c r="K41" s="61">
        <v>0</v>
      </c>
      <c r="M41" s="61">
        <v>0</v>
      </c>
      <c r="O41" s="61">
        <v>0</v>
      </c>
      <c r="Q41" s="61">
        <v>0</v>
      </c>
      <c r="S41" s="62">
        <f>Q41</f>
        <v>0</v>
      </c>
      <c r="T41" s="63"/>
      <c r="U41" s="62">
        <f>S41</f>
        <v>0</v>
      </c>
    </row>
    <row r="42" spans="1:24" s="37" customFormat="1" ht="13.5" customHeight="1" thickBot="1">
      <c r="B42" s="37" t="s">
        <v>40</v>
      </c>
      <c r="G42" s="38">
        <v>0.1</v>
      </c>
      <c r="I42" s="61">
        <v>0</v>
      </c>
      <c r="K42" s="61">
        <v>0</v>
      </c>
      <c r="M42" s="64">
        <v>-0.1</v>
      </c>
      <c r="N42" s="5"/>
      <c r="O42" s="61">
        <v>0</v>
      </c>
      <c r="P42" s="5"/>
      <c r="Q42" s="61">
        <v>0</v>
      </c>
      <c r="R42" s="5"/>
      <c r="S42" s="62">
        <f>Q42</f>
        <v>0</v>
      </c>
      <c r="T42" s="65"/>
      <c r="U42" s="62">
        <f>S42</f>
        <v>0</v>
      </c>
    </row>
    <row r="43" spans="1:24">
      <c r="B43" t="s">
        <v>41</v>
      </c>
      <c r="G43" s="42">
        <f>G35-SUM(G39:G42)</f>
        <v>122.70000000000002</v>
      </c>
      <c r="I43" s="42">
        <f>I35-SUM(I39:I42)</f>
        <v>118.30000000000001</v>
      </c>
      <c r="K43" s="42">
        <f>K35-SUM(K39:K42)</f>
        <v>107.90000000000002</v>
      </c>
      <c r="L43" s="66"/>
      <c r="M43" s="42">
        <f>M35-SUM(M39:M42)</f>
        <v>118.60000000000004</v>
      </c>
      <c r="O43" s="42">
        <f>O35-SUM(O39:O42)</f>
        <v>112.39999999999998</v>
      </c>
      <c r="Q43" s="42">
        <f>Q35-SUM(Q39:Q42)</f>
        <v>111.80000000000001</v>
      </c>
      <c r="R43" s="66"/>
      <c r="S43" s="42">
        <f>S35-SUM(S39:S42)</f>
        <v>112.91800000000001</v>
      </c>
      <c r="U43" s="42">
        <f>U35-SUM(U39:U42)</f>
        <v>114.04718000000003</v>
      </c>
      <c r="X43" s="33">
        <f>(U43/M43)^(1/(U$5-$M$5))-1</f>
        <v>-9.7383383056438566E-3</v>
      </c>
    </row>
    <row r="44" spans="1:24" ht="5.15" customHeight="1"/>
    <row r="45" spans="1:24" s="37" customFormat="1">
      <c r="B45" s="37" t="s">
        <v>42</v>
      </c>
      <c r="G45" s="39">
        <f>G46*G43</f>
        <v>42.945</v>
      </c>
      <c r="I45" s="39">
        <f>I46*I43</f>
        <v>41.405000000000001</v>
      </c>
      <c r="K45" s="39">
        <f>K46*K43</f>
        <v>37.765000000000008</v>
      </c>
      <c r="M45" s="39">
        <f>M46*M43</f>
        <v>41.510000000000012</v>
      </c>
      <c r="O45" s="39">
        <f>O46*O43</f>
        <v>39.339999999999989</v>
      </c>
      <c r="Q45" s="39">
        <f>Q46*Q43</f>
        <v>39.130000000000003</v>
      </c>
      <c r="S45" s="39">
        <f>S46*S43</f>
        <v>39.521299999999997</v>
      </c>
      <c r="U45" s="39">
        <f>U46*U43</f>
        <v>39.916513000000009</v>
      </c>
      <c r="X45" s="5"/>
    </row>
    <row r="46" spans="1:24" s="19" customFormat="1" ht="12.75" customHeight="1" thickBot="1">
      <c r="C46" s="19" t="s">
        <v>43</v>
      </c>
      <c r="G46" s="35">
        <v>0.35</v>
      </c>
      <c r="I46" s="67">
        <f>G46</f>
        <v>0.35</v>
      </c>
      <c r="K46" s="67">
        <f>I46</f>
        <v>0.35</v>
      </c>
      <c r="M46" s="67">
        <f>K46</f>
        <v>0.35</v>
      </c>
      <c r="O46" s="67">
        <f>M46</f>
        <v>0.35</v>
      </c>
      <c r="Q46" s="67">
        <f>O46</f>
        <v>0.35</v>
      </c>
      <c r="S46" s="67">
        <f>Q46</f>
        <v>0.35</v>
      </c>
      <c r="U46" s="67">
        <f>S46</f>
        <v>0.35</v>
      </c>
      <c r="X46" s="37"/>
    </row>
    <row r="47" spans="1:24" ht="5.15" customHeight="1">
      <c r="G47" s="42"/>
      <c r="I47" s="42"/>
      <c r="K47" s="42"/>
      <c r="M47" s="42"/>
      <c r="O47" s="42"/>
      <c r="Q47" s="42"/>
      <c r="S47" s="42"/>
      <c r="U47" s="42"/>
      <c r="X47" s="36"/>
    </row>
    <row r="48" spans="1:24" s="10" customFormat="1">
      <c r="B48" s="10" t="s">
        <v>44</v>
      </c>
      <c r="G48" s="32">
        <f>G43-G45</f>
        <v>79.755000000000024</v>
      </c>
      <c r="H48" s="32"/>
      <c r="I48" s="32">
        <f>I43-I45</f>
        <v>76.89500000000001</v>
      </c>
      <c r="K48" s="32">
        <f>K43-K45</f>
        <v>70.135000000000019</v>
      </c>
      <c r="M48" s="32">
        <f>M43-M45</f>
        <v>77.090000000000032</v>
      </c>
      <c r="O48" s="32">
        <f>O43-O45</f>
        <v>73.059999999999988</v>
      </c>
      <c r="Q48" s="32">
        <f>Q43-Q45</f>
        <v>72.670000000000016</v>
      </c>
      <c r="S48" s="32">
        <f>S43-S45</f>
        <v>73.39670000000001</v>
      </c>
      <c r="U48" s="32">
        <f>U43-U45</f>
        <v>74.130667000000017</v>
      </c>
      <c r="X48" s="33">
        <f>(U48/M48)^(1/(U$5-$M$5))-1</f>
        <v>-9.7383383056438566E-3</v>
      </c>
    </row>
    <row r="49" spans="1:24" s="19" customFormat="1" ht="12.75" customHeight="1">
      <c r="C49" s="19" t="s">
        <v>28</v>
      </c>
      <c r="G49" s="40">
        <f>G48/G$7</f>
        <v>0.21508899676375409</v>
      </c>
      <c r="I49" s="40">
        <f>I48/I$7</f>
        <v>0.20193014705882356</v>
      </c>
      <c r="K49" s="40">
        <f>K48/K$7</f>
        <v>0.17424844720496899</v>
      </c>
      <c r="M49" s="40">
        <f>M48/M$7</f>
        <v>0.16828203449028603</v>
      </c>
      <c r="O49" s="40">
        <f>O48/O$7</f>
        <v>0.15611111111111109</v>
      </c>
      <c r="Q49" s="40">
        <f>Q48/Q$7</f>
        <v>0.15445270988310311</v>
      </c>
      <c r="S49" s="40">
        <f>S48/S$7</f>
        <v>0.15445270988310311</v>
      </c>
      <c r="U49" s="40">
        <f>U48/U$7</f>
        <v>0.15445270988310311</v>
      </c>
    </row>
    <row r="50" spans="1:24" ht="5.15" customHeight="1">
      <c r="X50" s="36"/>
    </row>
    <row r="51" spans="1:24" s="10" customFormat="1">
      <c r="A51" s="68"/>
      <c r="B51" s="68" t="s">
        <v>45</v>
      </c>
      <c r="C51" s="68"/>
      <c r="D51" s="68"/>
      <c r="E51" s="68"/>
      <c r="F51" s="68"/>
      <c r="G51" s="69">
        <f>G48/G53</f>
        <v>2.2745550992470918</v>
      </c>
      <c r="H51" s="68"/>
      <c r="I51" s="69">
        <f>I48/I53</f>
        <v>2.2696280991735538</v>
      </c>
      <c r="J51" s="68"/>
      <c r="K51" s="69">
        <f>K48/K53</f>
        <v>1.971191680719506</v>
      </c>
      <c r="L51" s="68"/>
      <c r="M51" s="69">
        <f>M48/M53</f>
        <v>2.136640798226165</v>
      </c>
      <c r="N51" s="68"/>
      <c r="O51" s="69">
        <f>O48/O53</f>
        <v>1.9972662657189719</v>
      </c>
      <c r="P51" s="68"/>
      <c r="Q51" s="69">
        <f>Q48/Q53</f>
        <v>1.9866047020229638</v>
      </c>
      <c r="R51" s="68"/>
      <c r="S51" s="69">
        <f>S48/S53</f>
        <v>2.0064707490431934</v>
      </c>
      <c r="T51" s="68"/>
      <c r="U51" s="69">
        <f>U48/U53</f>
        <v>2.0265354565336255</v>
      </c>
      <c r="V51" s="70"/>
      <c r="X51" s="33">
        <f>(U51/M51)^(1/(U$5-$M$5))-1</f>
        <v>-1.3139713213559889E-2</v>
      </c>
    </row>
    <row r="52" spans="1:24" ht="5.15" customHeight="1"/>
    <row r="53" spans="1:24">
      <c r="B53" t="s">
        <v>46</v>
      </c>
      <c r="G53" s="71">
        <v>35.064</v>
      </c>
      <c r="H53" s="71"/>
      <c r="I53" s="71">
        <v>33.880000000000003</v>
      </c>
      <c r="J53" s="71"/>
      <c r="K53" s="71">
        <v>35.58</v>
      </c>
      <c r="L53" s="71"/>
      <c r="M53" s="71">
        <v>36.08</v>
      </c>
      <c r="N53" s="71"/>
      <c r="O53" s="71">
        <v>36.58</v>
      </c>
      <c r="P53" s="71"/>
      <c r="Q53" s="71">
        <v>36.58</v>
      </c>
      <c r="R53" s="72"/>
      <c r="S53" s="73">
        <f>Q53</f>
        <v>36.58</v>
      </c>
      <c r="T53" s="73"/>
      <c r="U53" s="73">
        <f>S53</f>
        <v>36.58</v>
      </c>
    </row>
    <row r="55" spans="1:24">
      <c r="B55" s="10" t="s">
        <v>47</v>
      </c>
    </row>
    <row r="56" spans="1:24">
      <c r="C56" t="s">
        <v>32</v>
      </c>
      <c r="G56" s="74">
        <f>G24*(1-G46)</f>
        <v>16.705000000000002</v>
      </c>
      <c r="I56" s="74">
        <f>I24*(1-I46)</f>
        <v>11.83</v>
      </c>
      <c r="K56" s="74">
        <f>K24*(1-K46)</f>
        <v>12.090000000000002</v>
      </c>
      <c r="M56" s="74">
        <f>M24*(1-M46)</f>
        <v>12.740000000000002</v>
      </c>
      <c r="O56" s="74">
        <f>O24*(1-O46)</f>
        <v>12.934999999999999</v>
      </c>
      <c r="Q56" s="74">
        <f>Q24*(1-Q46)</f>
        <v>13</v>
      </c>
      <c r="S56" s="74">
        <f>S24*(1-S46)</f>
        <v>13</v>
      </c>
      <c r="U56" s="74">
        <f>U24*(1-U46)</f>
        <v>13</v>
      </c>
    </row>
    <row r="57" spans="1:24">
      <c r="C57" t="s">
        <v>34</v>
      </c>
      <c r="G57" s="39">
        <f>G29*(1-G46)</f>
        <v>10.725</v>
      </c>
      <c r="I57" s="39">
        <f>I29*(1-I46)</f>
        <v>8.7100000000000009</v>
      </c>
      <c r="K57" s="39">
        <f>K29*(1-K46)</f>
        <v>7.3450000000000006</v>
      </c>
      <c r="M57" s="39">
        <f>M29*(1-M46)</f>
        <v>7.0200000000000005</v>
      </c>
      <c r="O57" s="39">
        <f>O29*(1-O46)</f>
        <v>6.89</v>
      </c>
      <c r="Q57" s="39">
        <f>Q29*(1-Q46)</f>
        <v>6.9550000000000001</v>
      </c>
      <c r="S57" s="39">
        <f>S29*(1-S46)</f>
        <v>7.0245499999999996</v>
      </c>
      <c r="U57" s="39">
        <f>U29*(1-U46)</f>
        <v>7.0947954999999991</v>
      </c>
    </row>
    <row r="58" spans="1:24" ht="13.5" customHeight="1" thickBot="1">
      <c r="C58" t="s">
        <v>48</v>
      </c>
      <c r="G58" s="38">
        <v>8.1999999999999993</v>
      </c>
      <c r="I58" s="38">
        <v>3.4</v>
      </c>
      <c r="K58" s="38">
        <v>0.7</v>
      </c>
      <c r="M58" s="64">
        <v>0.1</v>
      </c>
      <c r="N58" s="63"/>
      <c r="O58" s="61">
        <v>0</v>
      </c>
      <c r="P58" s="63"/>
      <c r="Q58" s="61">
        <v>0</v>
      </c>
      <c r="R58" s="63"/>
      <c r="S58" s="62">
        <f>Q58</f>
        <v>0</v>
      </c>
      <c r="T58" s="63"/>
      <c r="U58" s="62">
        <f>S58</f>
        <v>0</v>
      </c>
    </row>
    <row r="59" spans="1:24" ht="5.15" customHeight="1">
      <c r="G59" s="42"/>
      <c r="I59" s="42"/>
      <c r="K59" s="42"/>
      <c r="M59" s="42"/>
      <c r="O59" s="75"/>
      <c r="Q59" s="75"/>
      <c r="S59" s="75"/>
      <c r="U59" s="75"/>
    </row>
    <row r="60" spans="1:24" s="10" customFormat="1">
      <c r="B60" s="10" t="s">
        <v>49</v>
      </c>
      <c r="G60" s="32">
        <f>G48-SUM(G56:G58)</f>
        <v>44.125000000000028</v>
      </c>
      <c r="I60" s="32">
        <f>I48-SUM(I56:I58)</f>
        <v>52.955000000000013</v>
      </c>
      <c r="K60" s="32">
        <f>K48-SUM(K56:K58)</f>
        <v>50.000000000000014</v>
      </c>
      <c r="M60" s="32">
        <f>M48-SUM(M56:M58)</f>
        <v>57.230000000000032</v>
      </c>
      <c r="O60" s="32">
        <f>O48-SUM(O56:O58)</f>
        <v>53.234999999999985</v>
      </c>
      <c r="Q60" s="32">
        <f>Q48-SUM(Q56:Q58)</f>
        <v>52.715000000000018</v>
      </c>
      <c r="S60" s="32">
        <f>S48-SUM(S56:S58)</f>
        <v>53.372150000000012</v>
      </c>
      <c r="U60" s="32">
        <f>U48-SUM(U56:U58)</f>
        <v>54.035871500000013</v>
      </c>
      <c r="X60" s="33">
        <f>(U60/M60)^(1/(U$5-$M$5))-1</f>
        <v>-1.4254953002548976E-2</v>
      </c>
    </row>
    <row r="61" spans="1:24" s="19" customFormat="1" ht="12.75" customHeight="1">
      <c r="C61" s="19" t="s">
        <v>28</v>
      </c>
      <c r="G61" s="40">
        <f>G60/G$7</f>
        <v>0.11899946062567429</v>
      </c>
      <c r="I61" s="40">
        <f>I60/I$7</f>
        <v>0.13906250000000003</v>
      </c>
      <c r="K61" s="40">
        <f>K60/K$7</f>
        <v>0.12422360248447209</v>
      </c>
      <c r="M61" s="40">
        <f>M60/M$7</f>
        <v>0.1249290547915303</v>
      </c>
      <c r="O61" s="40">
        <f>O60/O$7</f>
        <v>0.11374999999999996</v>
      </c>
      <c r="Q61" s="40">
        <f>Q60/Q$7</f>
        <v>0.11204038257173224</v>
      </c>
      <c r="S61" s="40">
        <f>S60/S$7</f>
        <v>0.11231394871686959</v>
      </c>
      <c r="U61" s="40">
        <f>U60/U$7</f>
        <v>0.11258480628631252</v>
      </c>
    </row>
    <row r="62" spans="1:24" ht="5.15" customHeight="1">
      <c r="X62" s="36"/>
    </row>
    <row r="63" spans="1:24">
      <c r="A63" s="68"/>
      <c r="B63" s="68" t="s">
        <v>50</v>
      </c>
      <c r="C63" s="68"/>
      <c r="D63" s="68"/>
      <c r="E63" s="68"/>
      <c r="F63" s="68"/>
      <c r="G63" s="69">
        <f>G60/G53</f>
        <v>1.2584131873146256</v>
      </c>
      <c r="H63" s="68"/>
      <c r="I63" s="69">
        <f>I60/I53</f>
        <v>1.5630165289256202</v>
      </c>
      <c r="J63" s="68"/>
      <c r="K63" s="69">
        <f>K60/K53</f>
        <v>1.4052838673412034</v>
      </c>
      <c r="L63" s="68"/>
      <c r="M63" s="69">
        <f>M60/M53</f>
        <v>1.5861973392461206</v>
      </c>
      <c r="N63" s="68"/>
      <c r="O63" s="69">
        <f>O60/O53</f>
        <v>1.4553034445051938</v>
      </c>
      <c r="P63" s="68"/>
      <c r="Q63" s="69">
        <f>Q60/Q53</f>
        <v>1.4410880262438497</v>
      </c>
      <c r="R63" s="68"/>
      <c r="S63" s="69">
        <f>S60/S53</f>
        <v>1.4590527610716242</v>
      </c>
      <c r="T63" s="68"/>
      <c r="U63" s="69">
        <f>U60/U53</f>
        <v>1.4771971432476767</v>
      </c>
      <c r="V63" s="70"/>
      <c r="X63" s="33">
        <f>(U63/M63)^(1/(U$5-$M$5))-1</f>
        <v>-1.7640814132144578E-2</v>
      </c>
    </row>
    <row r="65" spans="1:23" s="76" customFormat="1" ht="12.75" customHeight="1">
      <c r="B65" s="76" t="s">
        <v>51</v>
      </c>
      <c r="G65" s="77">
        <v>26</v>
      </c>
      <c r="I65" s="77">
        <v>12.5</v>
      </c>
      <c r="K65" s="77">
        <v>18</v>
      </c>
      <c r="M65" s="77">
        <v>16</v>
      </c>
      <c r="O65" s="77">
        <v>14.1</v>
      </c>
      <c r="Q65" s="74">
        <f>Q66*Q7</f>
        <v>14.175320512820512</v>
      </c>
      <c r="S65" s="74">
        <f>S66*S7</f>
        <v>14.317073717948718</v>
      </c>
      <c r="U65" s="74">
        <f>U66*U7</f>
        <v>14.460244455128205</v>
      </c>
    </row>
    <row r="66" spans="1:23" s="19" customFormat="1" ht="12.75" customHeight="1">
      <c r="A66" s="49"/>
      <c r="B66" s="49"/>
      <c r="C66" s="49" t="s">
        <v>26</v>
      </c>
      <c r="D66" s="49"/>
      <c r="E66" s="49"/>
      <c r="F66" s="49"/>
      <c r="G66" s="50">
        <f>G65/G$7</f>
        <v>7.0118662351672065E-2</v>
      </c>
      <c r="H66" s="49"/>
      <c r="I66" s="50">
        <f>I65/I$7</f>
        <v>3.2825630252100842E-2</v>
      </c>
      <c r="J66" s="49"/>
      <c r="K66" s="50">
        <f>K65/K$7</f>
        <v>4.472049689440994E-2</v>
      </c>
      <c r="L66" s="49"/>
      <c r="M66" s="50">
        <f>M65/M$7</f>
        <v>3.4926871862038855E-2</v>
      </c>
      <c r="N66" s="49"/>
      <c r="O66" s="50">
        <f>O65/O$7</f>
        <v>3.0128205128205129E-2</v>
      </c>
      <c r="P66" s="49"/>
      <c r="Q66" s="50">
        <f>O66</f>
        <v>3.0128205128205129E-2</v>
      </c>
      <c r="R66" s="49"/>
      <c r="S66" s="50">
        <f>Q66</f>
        <v>3.0128205128205129E-2</v>
      </c>
      <c r="T66" s="49"/>
      <c r="U66" s="50">
        <f>S66</f>
        <v>3.0128205128205129E-2</v>
      </c>
      <c r="V66" s="49"/>
      <c r="W66" s="49"/>
    </row>
  </sheetData>
  <phoneticPr fontId="1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LBO</vt:lpstr>
      <vt:lpstr>Target P&amp;L</vt:lpstr>
      <vt:lpstr>curr_date</vt:lpstr>
      <vt:lpstr>fin_case</vt:lpstr>
      <vt:lpstr>fye</vt:lpstr>
      <vt:lpstr>libor</vt:lpstr>
      <vt:lpstr>ltm_date</vt:lpstr>
      <vt:lpstr>ltm_ebitda</vt:lpstr>
      <vt:lpstr>min_cash</vt:lpstr>
      <vt:lpstr>op_case</vt:lpstr>
      <vt:lpstr>refi</vt:lpstr>
      <vt:lpstr>revolver</vt:lpstr>
      <vt:lpstr>stub</vt:lpstr>
      <vt:lpstr>tgt</vt:lpstr>
      <vt:lpstr>trans_price</vt:lpstr>
      <vt:lpstr>treas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MacGregor</dc:creator>
  <cp:lastModifiedBy>Celso Trinidad</cp:lastModifiedBy>
  <dcterms:created xsi:type="dcterms:W3CDTF">2009-06-11T16:36:02Z</dcterms:created>
  <dcterms:modified xsi:type="dcterms:W3CDTF">2023-08-25T09:18:55Z</dcterms:modified>
</cp:coreProperties>
</file>