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lsoTrinidad\Downloads\"/>
    </mc:Choice>
  </mc:AlternateContent>
  <xr:revisionPtr revIDLastSave="0" documentId="13_ncr:40009_{DF638FD3-7B15-4774-9406-B94AD67076DF}" xr6:coauthVersionLast="47" xr6:coauthVersionMax="47" xr10:uidLastSave="{00000000-0000-0000-0000-000000000000}"/>
  <bookViews>
    <workbookView xWindow="-90" yWindow="-90" windowWidth="19380" windowHeight="11730"/>
  </bookViews>
  <sheets>
    <sheet name="Assumptions" sheetId="1" r:id="rId1"/>
    <sheet name="Buyer P&amp;L" sheetId="2" r:id="rId2"/>
    <sheet name="Target P&amp;L" sheetId="3" r:id="rId3"/>
  </sheets>
  <externalReferences>
    <externalReference r:id="rId4"/>
  </externalReferences>
  <definedNames>
    <definedName name="acq">Assumptions!$H$11</definedName>
    <definedName name="acq_fye">Assumptions!$H$35</definedName>
    <definedName name="acq_price">Assumptions!$J$14</definedName>
    <definedName name="libor">[1]LBO!$AF$34</definedName>
    <definedName name="tgt">Assumptions!$L$11</definedName>
    <definedName name="tgt_price">Assumptions!$N$14</definedName>
    <definedName name="year">Assumptions!$T$43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3" l="1"/>
  <c r="G4" i="3"/>
  <c r="O66" i="3"/>
  <c r="Q66" i="3"/>
  <c r="S66" i="3" s="1"/>
  <c r="M66" i="3"/>
  <c r="K66" i="3"/>
  <c r="I66" i="3"/>
  <c r="G66" i="3"/>
  <c r="S7" i="3"/>
  <c r="U7" i="3" s="1"/>
  <c r="U8" i="3"/>
  <c r="Q65" i="3"/>
  <c r="Q11" i="3"/>
  <c r="S11" i="3" s="1"/>
  <c r="Q16" i="3"/>
  <c r="S16" i="3"/>
  <c r="U16" i="3"/>
  <c r="U15" i="3"/>
  <c r="S24" i="3"/>
  <c r="U24" i="3"/>
  <c r="Q23" i="3"/>
  <c r="S23" i="3" s="1"/>
  <c r="U23" i="3" s="1"/>
  <c r="U22" i="3" s="1"/>
  <c r="Q30" i="3"/>
  <c r="S30" i="3" s="1"/>
  <c r="S29" i="3" s="1"/>
  <c r="S39" i="3"/>
  <c r="U39" i="3" s="1"/>
  <c r="S40" i="3"/>
  <c r="U40" i="3" s="1"/>
  <c r="S41" i="3"/>
  <c r="U41" i="3" s="1"/>
  <c r="S42" i="3"/>
  <c r="U42" i="3"/>
  <c r="S58" i="3"/>
  <c r="U58" i="3" s="1"/>
  <c r="S53" i="3"/>
  <c r="U53" i="3"/>
  <c r="M12" i="3"/>
  <c r="M19" i="3"/>
  <c r="M26" i="3"/>
  <c r="S15" i="3"/>
  <c r="Q12" i="3"/>
  <c r="Q19" i="3"/>
  <c r="Q26" i="3"/>
  <c r="Q27" i="3" s="1"/>
  <c r="Q32" i="3"/>
  <c r="Q35" i="3"/>
  <c r="O12" i="3"/>
  <c r="O26" i="3"/>
  <c r="K12" i="3"/>
  <c r="K19" i="3" s="1"/>
  <c r="K20" i="3" s="1"/>
  <c r="K26" i="3"/>
  <c r="K32" i="3"/>
  <c r="K33" i="3" s="1"/>
  <c r="I12" i="3"/>
  <c r="I26" i="3"/>
  <c r="G12" i="3"/>
  <c r="G19" i="3" s="1"/>
  <c r="G26" i="3"/>
  <c r="G27" i="3" s="1"/>
  <c r="G32" i="3"/>
  <c r="G33" i="3" s="1"/>
  <c r="G35" i="3"/>
  <c r="G43" i="3" s="1"/>
  <c r="G36" i="3"/>
  <c r="Q33" i="3"/>
  <c r="O30" i="3"/>
  <c r="M30" i="3"/>
  <c r="K30" i="3"/>
  <c r="I30" i="3"/>
  <c r="G30" i="3"/>
  <c r="O27" i="3"/>
  <c r="M27" i="3"/>
  <c r="K27" i="3"/>
  <c r="I27" i="3"/>
  <c r="S25" i="3"/>
  <c r="Q25" i="3"/>
  <c r="O25" i="3"/>
  <c r="M25" i="3"/>
  <c r="K25" i="3"/>
  <c r="I25" i="3"/>
  <c r="G25" i="3"/>
  <c r="O23" i="3"/>
  <c r="M23" i="3"/>
  <c r="K23" i="3"/>
  <c r="I23" i="3"/>
  <c r="G23" i="3"/>
  <c r="Q20" i="3"/>
  <c r="G20" i="3"/>
  <c r="O16" i="3"/>
  <c r="M16" i="3"/>
  <c r="K16" i="3"/>
  <c r="I16" i="3"/>
  <c r="G16" i="3"/>
  <c r="Q13" i="3"/>
  <c r="M13" i="3"/>
  <c r="K13" i="3"/>
  <c r="G13" i="3"/>
  <c r="O11" i="3"/>
  <c r="M11" i="3"/>
  <c r="K11" i="3"/>
  <c r="I11" i="3"/>
  <c r="G11" i="3"/>
  <c r="Q8" i="3"/>
  <c r="O8" i="3"/>
  <c r="M8" i="3"/>
  <c r="K8" i="3"/>
  <c r="I8" i="3"/>
  <c r="A1" i="3"/>
  <c r="S8" i="2"/>
  <c r="S7" i="2"/>
  <c r="S65" i="2" s="1"/>
  <c r="U8" i="2"/>
  <c r="S16" i="2"/>
  <c r="U16" i="2" s="1"/>
  <c r="S24" i="2"/>
  <c r="U24" i="2"/>
  <c r="S23" i="2"/>
  <c r="S22" i="2" s="1"/>
  <c r="S26" i="2" s="1"/>
  <c r="S27" i="2" s="1"/>
  <c r="U23" i="2"/>
  <c r="U30" i="2"/>
  <c r="S39" i="2"/>
  <c r="U39" i="2" s="1"/>
  <c r="S40" i="2"/>
  <c r="U40" i="2" s="1"/>
  <c r="S41" i="2"/>
  <c r="U41" i="2" s="1"/>
  <c r="S42" i="2"/>
  <c r="U42" i="2"/>
  <c r="S58" i="2"/>
  <c r="U58" i="2"/>
  <c r="K5" i="2"/>
  <c r="K5" i="3" s="1"/>
  <c r="S15" i="2"/>
  <c r="M4" i="2"/>
  <c r="Q66" i="2"/>
  <c r="O66" i="2"/>
  <c r="M66" i="2"/>
  <c r="Q12" i="2"/>
  <c r="Q19" i="2" s="1"/>
  <c r="Q20" i="2" s="1"/>
  <c r="Q26" i="2"/>
  <c r="Q27" i="2" s="1"/>
  <c r="O12" i="2"/>
  <c r="O19" i="2"/>
  <c r="O20" i="2" s="1"/>
  <c r="O26" i="2"/>
  <c r="O32" i="2" s="1"/>
  <c r="M12" i="2"/>
  <c r="M19" i="2" s="1"/>
  <c r="M26" i="2"/>
  <c r="M27" i="2" s="1"/>
  <c r="Q30" i="2"/>
  <c r="S30" i="2" s="1"/>
  <c r="S29" i="2" s="1"/>
  <c r="O30" i="2"/>
  <c r="M30" i="2"/>
  <c r="O27" i="2"/>
  <c r="Q25" i="2"/>
  <c r="O25" i="2"/>
  <c r="M25" i="2"/>
  <c r="Q23" i="2"/>
  <c r="O23" i="2"/>
  <c r="M23" i="2"/>
  <c r="Q16" i="2"/>
  <c r="O16" i="2"/>
  <c r="M16" i="2"/>
  <c r="Q13" i="2"/>
  <c r="O13" i="2"/>
  <c r="M13" i="2"/>
  <c r="Q11" i="2"/>
  <c r="S11" i="2" s="1"/>
  <c r="O11" i="2"/>
  <c r="M11" i="2"/>
  <c r="Q8" i="2"/>
  <c r="O8" i="2"/>
  <c r="M8" i="2"/>
  <c r="G4" i="2"/>
  <c r="K66" i="2"/>
  <c r="I66" i="2"/>
  <c r="G66" i="2"/>
  <c r="A1" i="2"/>
  <c r="K12" i="2"/>
  <c r="K19" i="2"/>
  <c r="K20" i="2" s="1"/>
  <c r="K26" i="2"/>
  <c r="K32" i="2" s="1"/>
  <c r="I12" i="2"/>
  <c r="I19" i="2"/>
  <c r="I26" i="2"/>
  <c r="I27" i="2" s="1"/>
  <c r="I32" i="2"/>
  <c r="I35" i="2" s="1"/>
  <c r="G12" i="2"/>
  <c r="G19" i="2"/>
  <c r="G26" i="2"/>
  <c r="G27" i="2" s="1"/>
  <c r="K30" i="2"/>
  <c r="I30" i="2"/>
  <c r="G30" i="2"/>
  <c r="K25" i="2"/>
  <c r="I25" i="2"/>
  <c r="G25" i="2"/>
  <c r="K23" i="2"/>
  <c r="I23" i="2"/>
  <c r="G23" i="2"/>
  <c r="I20" i="2"/>
  <c r="G20" i="2"/>
  <c r="K16" i="2"/>
  <c r="I16" i="2"/>
  <c r="G16" i="2"/>
  <c r="K13" i="2"/>
  <c r="I13" i="2"/>
  <c r="G13" i="2"/>
  <c r="K11" i="2"/>
  <c r="I11" i="2"/>
  <c r="G11" i="2"/>
  <c r="K8" i="2"/>
  <c r="I8" i="2"/>
  <c r="N69" i="1"/>
  <c r="N68" i="1"/>
  <c r="N67" i="1"/>
  <c r="N66" i="1"/>
  <c r="N65" i="1"/>
  <c r="N64" i="1"/>
  <c r="N63" i="1"/>
  <c r="N62" i="1"/>
  <c r="N61" i="1"/>
  <c r="N60" i="1"/>
  <c r="D57" i="1"/>
  <c r="N54" i="1"/>
  <c r="N53" i="1"/>
  <c r="N52" i="1"/>
  <c r="N51" i="1"/>
  <c r="N50" i="1"/>
  <c r="N49" i="1"/>
  <c r="N48" i="1"/>
  <c r="N47" i="1"/>
  <c r="N46" i="1"/>
  <c r="N45" i="1"/>
  <c r="D42" i="1"/>
  <c r="N32" i="1"/>
  <c r="L32" i="1"/>
  <c r="J32" i="1"/>
  <c r="H32" i="1"/>
  <c r="L30" i="1"/>
  <c r="N30" i="1"/>
  <c r="H30" i="1"/>
  <c r="J30" i="1"/>
  <c r="J69" i="1"/>
  <c r="H60" i="1"/>
  <c r="H61" i="1"/>
  <c r="H62" i="1" s="1"/>
  <c r="J68" i="1"/>
  <c r="J67" i="1"/>
  <c r="J66" i="1"/>
  <c r="J65" i="1"/>
  <c r="J64" i="1"/>
  <c r="J63" i="1"/>
  <c r="J62" i="1"/>
  <c r="J61" i="1"/>
  <c r="L61" i="1" s="1"/>
  <c r="J60" i="1"/>
  <c r="J54" i="1"/>
  <c r="H45" i="1"/>
  <c r="H46" i="1" s="1"/>
  <c r="J53" i="1"/>
  <c r="J52" i="1"/>
  <c r="J51" i="1"/>
  <c r="J50" i="1"/>
  <c r="J49" i="1"/>
  <c r="J48" i="1"/>
  <c r="J47" i="1"/>
  <c r="J46" i="1"/>
  <c r="J45" i="1"/>
  <c r="L14" i="1"/>
  <c r="L60" i="1" l="1"/>
  <c r="L45" i="1"/>
  <c r="M5" i="3"/>
  <c r="O5" i="3" s="1"/>
  <c r="Q5" i="3" s="1"/>
  <c r="S5" i="3" s="1"/>
  <c r="U5" i="3" s="1"/>
  <c r="I5" i="3"/>
  <c r="G5" i="3" s="1"/>
  <c r="N20" i="1"/>
  <c r="N70" i="1"/>
  <c r="N19" i="1" s="1"/>
  <c r="I5" i="2"/>
  <c r="G5" i="2" s="1"/>
  <c r="M5" i="2"/>
  <c r="O5" i="2" s="1"/>
  <c r="Q5" i="2" s="1"/>
  <c r="S5" i="2" s="1"/>
  <c r="U5" i="2" s="1"/>
  <c r="X5" i="2" s="1"/>
  <c r="J20" i="1"/>
  <c r="L62" i="1"/>
  <c r="H63" i="1"/>
  <c r="O35" i="2"/>
  <c r="O33" i="2"/>
  <c r="K33" i="2"/>
  <c r="K35" i="2"/>
  <c r="I43" i="2"/>
  <c r="I36" i="2"/>
  <c r="G32" i="2"/>
  <c r="O19" i="3"/>
  <c r="O13" i="3"/>
  <c r="M20" i="2"/>
  <c r="M32" i="2"/>
  <c r="U15" i="2"/>
  <c r="U66" i="3"/>
  <c r="U65" i="3" s="1"/>
  <c r="S65" i="3"/>
  <c r="I33" i="2"/>
  <c r="S10" i="2"/>
  <c r="S12" i="2" s="1"/>
  <c r="U11" i="2"/>
  <c r="Q43" i="3"/>
  <c r="Q36" i="3"/>
  <c r="X7" i="3"/>
  <c r="U12" i="3"/>
  <c r="N55" i="1"/>
  <c r="J19" i="1" s="1"/>
  <c r="J21" i="1" s="1"/>
  <c r="J23" i="1" s="1"/>
  <c r="J25" i="1" s="1"/>
  <c r="Q32" i="2"/>
  <c r="U7" i="2"/>
  <c r="U29" i="2" s="1"/>
  <c r="S25" i="2"/>
  <c r="I19" i="3"/>
  <c r="I13" i="3"/>
  <c r="S22" i="3"/>
  <c r="S26" i="3" s="1"/>
  <c r="S27" i="3" s="1"/>
  <c r="U30" i="3"/>
  <c r="U29" i="3" s="1"/>
  <c r="U25" i="3"/>
  <c r="K27" i="2"/>
  <c r="M20" i="3"/>
  <c r="M32" i="3"/>
  <c r="U26" i="3"/>
  <c r="U27" i="3" s="1"/>
  <c r="U11" i="3"/>
  <c r="U10" i="3" s="1"/>
  <c r="S10" i="3"/>
  <c r="S12" i="3" s="1"/>
  <c r="H47" i="1"/>
  <c r="L46" i="1"/>
  <c r="K35" i="3"/>
  <c r="X5" i="3"/>
  <c r="N21" i="1" l="1"/>
  <c r="N23" i="1" s="1"/>
  <c r="N25" i="1" s="1"/>
  <c r="S13" i="2"/>
  <c r="S19" i="2"/>
  <c r="M33" i="3"/>
  <c r="M35" i="3"/>
  <c r="G33" i="2"/>
  <c r="G35" i="2"/>
  <c r="I20" i="3"/>
  <c r="I32" i="3"/>
  <c r="U19" i="3"/>
  <c r="U13" i="3"/>
  <c r="X12" i="3"/>
  <c r="M35" i="2"/>
  <c r="M33" i="2"/>
  <c r="O43" i="2"/>
  <c r="O36" i="2"/>
  <c r="H48" i="1"/>
  <c r="L47" i="1"/>
  <c r="S13" i="3"/>
  <c r="S19" i="3"/>
  <c r="U65" i="2"/>
  <c r="U25" i="2"/>
  <c r="X7" i="2"/>
  <c r="U22" i="2"/>
  <c r="U26" i="2" s="1"/>
  <c r="U27" i="2" s="1"/>
  <c r="H64" i="1"/>
  <c r="L63" i="1"/>
  <c r="K43" i="3"/>
  <c r="K36" i="3"/>
  <c r="K43" i="2"/>
  <c r="K36" i="2"/>
  <c r="Q33" i="2"/>
  <c r="Q35" i="2"/>
  <c r="U10" i="2"/>
  <c r="U12" i="2" s="1"/>
  <c r="O32" i="3"/>
  <c r="O20" i="3"/>
  <c r="I48" i="2"/>
  <c r="I46" i="2"/>
  <c r="X12" i="2" l="1"/>
  <c r="U19" i="2"/>
  <c r="U13" i="2"/>
  <c r="H49" i="1"/>
  <c r="L48" i="1"/>
  <c r="I57" i="2"/>
  <c r="I56" i="2"/>
  <c r="I46" i="3"/>
  <c r="O46" i="2"/>
  <c r="O48" i="2"/>
  <c r="G43" i="2"/>
  <c r="G36" i="2"/>
  <c r="I60" i="2"/>
  <c r="I49" i="2"/>
  <c r="I51" i="2"/>
  <c r="K48" i="2"/>
  <c r="K46" i="2"/>
  <c r="O35" i="3"/>
  <c r="O33" i="3"/>
  <c r="M43" i="2"/>
  <c r="M36" i="2"/>
  <c r="M43" i="3"/>
  <c r="M36" i="3"/>
  <c r="S20" i="3"/>
  <c r="S32" i="3"/>
  <c r="I35" i="3"/>
  <c r="I33" i="3"/>
  <c r="S20" i="2"/>
  <c r="S32" i="2"/>
  <c r="Q43" i="2"/>
  <c r="Q36" i="2"/>
  <c r="H65" i="1"/>
  <c r="L64" i="1"/>
  <c r="U32" i="3"/>
  <c r="X19" i="3"/>
  <c r="U20" i="3"/>
  <c r="O51" i="2" l="1"/>
  <c r="O49" i="2"/>
  <c r="I57" i="3"/>
  <c r="I56" i="3"/>
  <c r="Q48" i="2"/>
  <c r="Q46" i="2"/>
  <c r="O43" i="3"/>
  <c r="O36" i="3"/>
  <c r="O46" i="3"/>
  <c r="O56" i="2"/>
  <c r="O60" i="2" s="1"/>
  <c r="O57" i="2"/>
  <c r="S35" i="3"/>
  <c r="S33" i="3"/>
  <c r="H66" i="1"/>
  <c r="L65" i="1"/>
  <c r="K57" i="2"/>
  <c r="K46" i="3"/>
  <c r="K56" i="2"/>
  <c r="S35" i="2"/>
  <c r="S33" i="2"/>
  <c r="I61" i="2"/>
  <c r="I63" i="2"/>
  <c r="M46" i="2"/>
  <c r="M48" i="2"/>
  <c r="H50" i="1"/>
  <c r="L49" i="1"/>
  <c r="U32" i="2"/>
  <c r="U20" i="2"/>
  <c r="X19" i="2"/>
  <c r="K49" i="2"/>
  <c r="K60" i="2"/>
  <c r="K51" i="2"/>
  <c r="U33" i="3"/>
  <c r="X32" i="3"/>
  <c r="U35" i="3"/>
  <c r="I36" i="3"/>
  <c r="I43" i="3"/>
  <c r="G46" i="2"/>
  <c r="G48" i="2"/>
  <c r="O61" i="2" l="1"/>
  <c r="O63" i="2"/>
  <c r="S43" i="3"/>
  <c r="S36" i="3"/>
  <c r="Q51" i="2"/>
  <c r="Q49" i="2"/>
  <c r="Q56" i="2"/>
  <c r="Q60" i="2" s="1"/>
  <c r="Q46" i="3"/>
  <c r="Q57" i="2"/>
  <c r="S46" i="2"/>
  <c r="U36" i="3"/>
  <c r="X35" i="3"/>
  <c r="U43" i="3"/>
  <c r="U35" i="2"/>
  <c r="U33" i="2"/>
  <c r="X32" i="2"/>
  <c r="S43" i="2"/>
  <c r="S36" i="2"/>
  <c r="I45" i="3"/>
  <c r="I48" i="3" s="1"/>
  <c r="G49" i="2"/>
  <c r="G51" i="2"/>
  <c r="H51" i="1"/>
  <c r="L50" i="1"/>
  <c r="O57" i="3"/>
  <c r="O45" i="3"/>
  <c r="O56" i="3"/>
  <c r="K45" i="3"/>
  <c r="K48" i="3" s="1"/>
  <c r="K56" i="3"/>
  <c r="K57" i="3"/>
  <c r="M51" i="2"/>
  <c r="M49" i="2"/>
  <c r="K63" i="2"/>
  <c r="K61" i="2"/>
  <c r="M56" i="2"/>
  <c r="M60" i="2" s="1"/>
  <c r="M57" i="2"/>
  <c r="M46" i="3"/>
  <c r="O48" i="3"/>
  <c r="G57" i="2"/>
  <c r="G60" i="2" s="1"/>
  <c r="G58" i="2"/>
  <c r="G56" i="2"/>
  <c r="G46" i="3"/>
  <c r="H67" i="1"/>
  <c r="L66" i="1"/>
  <c r="G61" i="2" l="1"/>
  <c r="G63" i="2"/>
  <c r="Q63" i="2"/>
  <c r="Q61" i="2"/>
  <c r="M63" i="2"/>
  <c r="M61" i="2"/>
  <c r="I60" i="3"/>
  <c r="I49" i="3"/>
  <c r="I51" i="3"/>
  <c r="Q45" i="3"/>
  <c r="Q48" i="3" s="1"/>
  <c r="Q56" i="3"/>
  <c r="Q57" i="3"/>
  <c r="X35" i="2"/>
  <c r="U36" i="2"/>
  <c r="U43" i="2"/>
  <c r="O60" i="3"/>
  <c r="O49" i="3"/>
  <c r="O51" i="3"/>
  <c r="H52" i="1"/>
  <c r="L51" i="1"/>
  <c r="X43" i="3"/>
  <c r="H68" i="1"/>
  <c r="L67" i="1"/>
  <c r="K60" i="3"/>
  <c r="K51" i="3"/>
  <c r="K49" i="3"/>
  <c r="G45" i="3"/>
  <c r="G48" i="3" s="1"/>
  <c r="G56" i="3"/>
  <c r="G57" i="3"/>
  <c r="M56" i="3"/>
  <c r="M45" i="3"/>
  <c r="M48" i="3" s="1"/>
  <c r="M57" i="3"/>
  <c r="S46" i="3"/>
  <c r="U46" i="2"/>
  <c r="S56" i="2"/>
  <c r="S45" i="2"/>
  <c r="S57" i="2"/>
  <c r="S48" i="2"/>
  <c r="Q49" i="3" l="1"/>
  <c r="Q51" i="3"/>
  <c r="Q60" i="3"/>
  <c r="O61" i="3"/>
  <c r="O63" i="3"/>
  <c r="M51" i="3"/>
  <c r="M60" i="3"/>
  <c r="M49" i="3"/>
  <c r="X43" i="2"/>
  <c r="K61" i="3"/>
  <c r="K63" i="3"/>
  <c r="S51" i="2"/>
  <c r="S49" i="2"/>
  <c r="S60" i="2"/>
  <c r="I61" i="3"/>
  <c r="I63" i="3"/>
  <c r="S45" i="3"/>
  <c r="S48" i="3" s="1"/>
  <c r="S56" i="3"/>
  <c r="S57" i="3"/>
  <c r="H69" i="1"/>
  <c r="L69" i="1" s="1"/>
  <c r="L68" i="1"/>
  <c r="G51" i="3"/>
  <c r="G49" i="3"/>
  <c r="G60" i="3"/>
  <c r="U45" i="2"/>
  <c r="U48" i="2" s="1"/>
  <c r="U46" i="3"/>
  <c r="U56" i="2"/>
  <c r="U57" i="2"/>
  <c r="H53" i="1"/>
  <c r="L52" i="1"/>
  <c r="X48" i="2" l="1"/>
  <c r="U51" i="2"/>
  <c r="X51" i="2" s="1"/>
  <c r="U60" i="2"/>
  <c r="U49" i="2"/>
  <c r="G61" i="3"/>
  <c r="G63" i="3"/>
  <c r="M61" i="3"/>
  <c r="M63" i="3"/>
  <c r="H54" i="1"/>
  <c r="L54" i="1" s="1"/>
  <c r="L53" i="1"/>
  <c r="S61" i="2"/>
  <c r="S63" i="2"/>
  <c r="U45" i="3"/>
  <c r="U48" i="3" s="1"/>
  <c r="U56" i="3"/>
  <c r="U57" i="3"/>
  <c r="Q61" i="3"/>
  <c r="Q63" i="3"/>
  <c r="S60" i="3"/>
  <c r="S51" i="3"/>
  <c r="S49" i="3"/>
  <c r="U51" i="3" l="1"/>
  <c r="X51" i="3" s="1"/>
  <c r="U49" i="3"/>
  <c r="X48" i="3"/>
  <c r="U60" i="3"/>
  <c r="S61" i="3"/>
  <c r="S63" i="3"/>
  <c r="U63" i="2"/>
  <c r="X63" i="2" s="1"/>
  <c r="U61" i="2"/>
  <c r="X60" i="2"/>
  <c r="U63" i="3" l="1"/>
  <c r="X63" i="3" s="1"/>
  <c r="X60" i="3"/>
  <c r="U61" i="3"/>
</calcChain>
</file>

<file path=xl/comments1.xml><?xml version="1.0" encoding="utf-8"?>
<comments xmlns="http://schemas.openxmlformats.org/spreadsheetml/2006/main">
  <authors>
    <author>Ryan MacGregor</author>
  </authors>
  <commentList>
    <comment ref="T10" authorId="0" shapeId="0">
      <text>
        <r>
          <rPr>
            <sz val="8"/>
            <color indexed="8"/>
            <rFont val="Tahoma"/>
            <family val="2"/>
          </rPr>
          <t>This integer value will correspond to a offer price per TargetCo share once we determine what range of offer prices we want to consider for this deal.</t>
        </r>
      </text>
    </comment>
    <comment ref="T11" authorId="0" shapeId="0">
      <text>
        <r>
          <rPr>
            <sz val="8"/>
            <color indexed="8"/>
            <rFont val="Tahoma"/>
            <family val="2"/>
          </rPr>
          <t>Consideration paid to TargetCo's shareholders may comprise cash and/or BuyerCo stock.</t>
        </r>
      </text>
    </comment>
    <comment ref="T20" authorId="0" shapeId="0">
      <text>
        <r>
          <rPr>
            <sz val="8"/>
            <color indexed="8"/>
            <rFont val="Tahoma"/>
            <family val="2"/>
          </rPr>
          <t>The period over which debt used to acquire TargetCo must be repaid.</t>
        </r>
      </text>
    </comment>
    <comment ref="T23" authorId="0" shapeId="0">
      <text>
        <r>
          <rPr>
            <sz val="8"/>
            <color indexed="8"/>
            <rFont val="Tahoma"/>
            <family val="2"/>
          </rPr>
          <t>The rate at which interest would accrue on any cash balance.</t>
        </r>
      </text>
    </comment>
    <comment ref="T24" authorId="0" shapeId="0">
      <text>
        <r>
          <rPr>
            <sz val="8"/>
            <color indexed="8"/>
            <rFont val="Tahoma"/>
            <family val="2"/>
          </rPr>
          <t>This is the minimum amount of cash that the combined company is expected to need to fund its operations.</t>
        </r>
      </text>
    </comment>
    <comment ref="T42" authorId="0" shapeId="0">
      <text>
        <r>
          <rPr>
            <sz val="8"/>
            <color indexed="8"/>
            <rFont val="Tahoma"/>
            <family val="2"/>
          </rPr>
          <t>Always use the acquirer's tax rate.  We will plug in this number after building the acquirer's P&amp;L.</t>
        </r>
      </text>
    </comment>
  </commentList>
</comments>
</file>

<file path=xl/comments2.xml><?xml version="1.0" encoding="utf-8"?>
<comments xmlns="http://schemas.openxmlformats.org/spreadsheetml/2006/main">
  <authors>
    <author>Ryan MacGregor</author>
  </authors>
  <commentList>
    <comment ref="M5" authorId="0" shapeId="0">
      <text>
        <r>
          <rPr>
            <sz val="8"/>
            <color indexed="8"/>
            <rFont val="Tahoma"/>
            <family val="2"/>
          </rPr>
          <t>Source: Deutsche research dated 4/24/2008.</t>
        </r>
      </text>
    </comment>
    <comment ref="O5" authorId="0" shapeId="0">
      <text>
        <r>
          <rPr>
            <sz val="8"/>
            <color indexed="8"/>
            <rFont val="Tahoma"/>
            <family val="2"/>
          </rPr>
          <t>Source: Deutsche research dated 4/24/2008.</t>
        </r>
      </text>
    </comment>
    <comment ref="Q5" authorId="0" shapeId="0">
      <text>
        <r>
          <rPr>
            <sz val="8"/>
            <color indexed="8"/>
            <rFont val="Tahoma"/>
            <family val="2"/>
          </rPr>
          <t>Source: Deutsche research dated 4/24/2008.</t>
        </r>
      </text>
    </comment>
  </commentList>
</comments>
</file>

<file path=xl/sharedStrings.xml><?xml version="1.0" encoding="utf-8"?>
<sst xmlns="http://schemas.openxmlformats.org/spreadsheetml/2006/main" count="207" uniqueCount="117">
  <si>
    <t>Transaction Assumptions</t>
  </si>
  <si>
    <t>($ in millions, except per share data)</t>
  </si>
  <si>
    <t>Summary Financial Data</t>
  </si>
  <si>
    <t>Acquirer</t>
  </si>
  <si>
    <t>Target</t>
  </si>
  <si>
    <t>Code Name</t>
  </si>
  <si>
    <t>BuyerCo</t>
  </si>
  <si>
    <t>TargetCo</t>
  </si>
  <si>
    <t>Ticker</t>
  </si>
  <si>
    <t>BBB</t>
  </si>
  <si>
    <t>TTT</t>
  </si>
  <si>
    <t>Current Price</t>
  </si>
  <si>
    <t>52-Week High</t>
  </si>
  <si>
    <t>52-Week Low</t>
  </si>
  <si>
    <t>Basic Shares Outstanding</t>
  </si>
  <si>
    <t>Treasury Method Shares</t>
  </si>
  <si>
    <t>In-the-Money Convertible Shares</t>
  </si>
  <si>
    <t>Fully Diluted Shares Outstanding</t>
  </si>
  <si>
    <t>Equity Value</t>
  </si>
  <si>
    <t>Net Debt</t>
  </si>
  <si>
    <t>Enterprise Value</t>
  </si>
  <si>
    <t>Convert 1</t>
  </si>
  <si>
    <t>Convert 2</t>
  </si>
  <si>
    <t>Face Value</t>
  </si>
  <si>
    <t>Conversion Price</t>
  </si>
  <si>
    <t>NA</t>
  </si>
  <si>
    <t>Convertible Shares</t>
  </si>
  <si>
    <t>Interest Rate</t>
  </si>
  <si>
    <t>In the Money?</t>
  </si>
  <si>
    <t>LTM Date</t>
  </si>
  <si>
    <t>Last Fiscal Year End</t>
  </si>
  <si>
    <t>Research Report Analyst</t>
  </si>
  <si>
    <t>Deutsche Bank</t>
  </si>
  <si>
    <t>Goldman Sachs</t>
  </si>
  <si>
    <t>Research Report Date</t>
  </si>
  <si>
    <t>Options Data</t>
  </si>
  <si>
    <t>Number of</t>
  </si>
  <si>
    <t>Average</t>
  </si>
  <si>
    <t>Cumulative</t>
  </si>
  <si>
    <t>Treasury</t>
  </si>
  <si>
    <t>Options (m)</t>
  </si>
  <si>
    <t>Strike</t>
  </si>
  <si>
    <t>Strike ($m)</t>
  </si>
  <si>
    <t>Avg. Strike</t>
  </si>
  <si>
    <t>Shares</t>
  </si>
  <si>
    <t>Tranche 1</t>
  </si>
  <si>
    <t>Tranche 2</t>
  </si>
  <si>
    <t>Tranche 3</t>
  </si>
  <si>
    <t>Tranche 4</t>
  </si>
  <si>
    <t>Tranche 5</t>
  </si>
  <si>
    <t>Tranche 6</t>
  </si>
  <si>
    <t>Tranche 7</t>
  </si>
  <si>
    <t>Tranche 8</t>
  </si>
  <si>
    <t>Tranche 9</t>
  </si>
  <si>
    <t>Tranche 10</t>
  </si>
  <si>
    <t>Total</t>
  </si>
  <si>
    <t>M&amp;A Assumptions</t>
  </si>
  <si>
    <t>Consideration</t>
  </si>
  <si>
    <t>Transaction Price</t>
  </si>
  <si>
    <t>Percent Cash Consideration</t>
  </si>
  <si>
    <t>Deal Structure</t>
  </si>
  <si>
    <t>Target LT Debt: 0=refinanced, 1=assumed</t>
  </si>
  <si>
    <t>Acquisition Type: 0=stock, 1=asset</t>
  </si>
  <si>
    <t>Section 338 Election?</t>
  </si>
  <si>
    <t>Acquisition Debt</t>
  </si>
  <si>
    <t>Interest Rate on Debt</t>
  </si>
  <si>
    <t>Amortization Period for New Debt (yrs)</t>
  </si>
  <si>
    <t>Cash</t>
  </si>
  <si>
    <t>Interest Rate on Cash</t>
  </si>
  <si>
    <t>Minimum Cash Balance</t>
  </si>
  <si>
    <t>Fees &amp; Expenses</t>
  </si>
  <si>
    <t>Advisory Fees</t>
  </si>
  <si>
    <t>Financing Fees</t>
  </si>
  <si>
    <t>Synergies</t>
  </si>
  <si>
    <t>Include Synergies?</t>
  </si>
  <si>
    <t>Cost Synergies</t>
  </si>
  <si>
    <t>SG&amp;A Synergies</t>
  </si>
  <si>
    <t>Purchase Price Allocation</t>
  </si>
  <si>
    <t xml:space="preserve">% of Excess PP Allocated to Intangibles </t>
  </si>
  <si>
    <t>Amortization Period (yrs)</t>
  </si>
  <si>
    <t>Step-Up of Target's Fixed Assets</t>
  </si>
  <si>
    <t>Depreciation Period (yrs)</t>
  </si>
  <si>
    <t>Other</t>
  </si>
  <si>
    <t>Tax Rate</t>
  </si>
  <si>
    <t>Calendar Year or Fiscal Year?</t>
  </si>
  <si>
    <t>FY</t>
  </si>
  <si>
    <t>Cash or GAAP?</t>
  </si>
  <si>
    <t>Total Revenue</t>
  </si>
  <si>
    <t>% Growth</t>
  </si>
  <si>
    <t>COGS</t>
  </si>
  <si>
    <t>% of Sales</t>
  </si>
  <si>
    <t>Gross Profit</t>
  </si>
  <si>
    <t>% Margin</t>
  </si>
  <si>
    <t>SG&amp;A</t>
  </si>
  <si>
    <t>EBITDA</t>
  </si>
  <si>
    <t>Depreciation</t>
  </si>
  <si>
    <t>Amortization</t>
  </si>
  <si>
    <t>Total D&amp;A</t>
  </si>
  <si>
    <t>Stock-Based Comp</t>
  </si>
  <si>
    <t>EBIT</t>
  </si>
  <si>
    <t>EBITA</t>
  </si>
  <si>
    <t>Interest (Income) / Expense</t>
  </si>
  <si>
    <t>Equity (Income)</t>
  </si>
  <si>
    <t>Minority Interest</t>
  </si>
  <si>
    <t>Other (Income) / Expense</t>
  </si>
  <si>
    <t>Income Before Taxes</t>
  </si>
  <si>
    <t>Provision for Tax</t>
  </si>
  <si>
    <t>% Tax Rate</t>
  </si>
  <si>
    <t>Cash Net Income</t>
  </si>
  <si>
    <t>Cash Diluted EPS</t>
  </si>
  <si>
    <t>Diluted Shares Out</t>
  </si>
  <si>
    <t>Cash to GAAP Reconciliation:</t>
  </si>
  <si>
    <t>One-Time Charges</t>
  </si>
  <si>
    <t>GAAP Net Income</t>
  </si>
  <si>
    <t>GAAP Diluted EPS</t>
  </si>
  <si>
    <t>Capex</t>
  </si>
  <si>
    <t>CAGR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</si>
</sst>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8" formatCode="0.0%_);\(0.0%\);0.0%_);@_)"/>
    <numFmt numFmtId="169" formatCode="&quot;$&quot;#,##0.00_);\(&quot;$&quot;#,##0.00\);&quot;$&quot;#,##0.00_);@_)"/>
    <numFmt numFmtId="170" formatCode="&quot;yes&quot;;&quot;ERROR&quot;;&quot;no&quot;;&quot;ERROR&quot;"/>
    <numFmt numFmtId="171" formatCode="#,##0.000_);\(#,##0.000\);#,##0.000_);@_)"/>
    <numFmt numFmtId="172" formatCode="#,##0_);\(#,##0\);#,##0_);@_)"/>
    <numFmt numFmtId="173" formatCode="&quot;$&quot;#,##0.0_);\(&quot;$&quot;#,##0.0\);&quot;$&quot;#,##0.0_);@_)"/>
    <numFmt numFmtId="174" formatCode="#,##0.0_);\(#,##0.0\);#,##0.0_);@_)"/>
    <numFmt numFmtId="175" formatCode="#,##0.00_);\(#,##0.00\);#,##0.00_);@_)"/>
    <numFmt numFmtId="176" formatCode="#,##0.0_);\(#,##0.0\)"/>
    <numFmt numFmtId="177" formatCode="0000\A"/>
    <numFmt numFmtId="178" formatCode="&quot;$&quot;#,##0.0_);\(&quot;$&quot;#,##0.0\)"/>
    <numFmt numFmtId="179" formatCode="0000\P"/>
    <numFmt numFmtId="180" formatCode="0000&quot;E&quot;"/>
  </numFmts>
  <fonts count="26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8"/>
      <color indexed="8"/>
      <name val="Arial"/>
      <family val="2"/>
    </font>
    <font>
      <i/>
      <sz val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i/>
      <sz val="10"/>
      <color indexed="12"/>
      <name val="Arial"/>
      <family val="2"/>
    </font>
    <font>
      <i/>
      <sz val="10"/>
      <color indexed="17"/>
      <name val="Arial"/>
      <family val="2"/>
    </font>
    <font>
      <sz val="8"/>
      <color indexed="8"/>
      <name val="Tahoma"/>
      <family val="2"/>
    </font>
    <font>
      <i/>
      <sz val="16"/>
      <color indexed="8"/>
      <name val="Arial"/>
      <family val="2"/>
    </font>
    <font>
      <i/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8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2"/>
      </bottom>
      <diagonal/>
    </border>
    <border>
      <left/>
      <right/>
      <top style="medium">
        <color indexed="22"/>
      </top>
      <bottom/>
      <diagonal/>
    </border>
    <border>
      <left/>
      <right/>
      <top style="medium">
        <color indexed="22"/>
      </top>
      <bottom style="double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7">
    <xf numFmtId="0" fontId="0" fillId="0" borderId="0" xfId="0"/>
    <xf numFmtId="0" fontId="3" fillId="0" borderId="1" xfId="0" applyFont="1" applyBorder="1"/>
    <xf numFmtId="0" fontId="0" fillId="0" borderId="1" xfId="0" applyBorder="1"/>
    <xf numFmtId="0" fontId="4" fillId="0" borderId="0" xfId="0" applyFont="1"/>
    <xf numFmtId="0" fontId="5" fillId="2" borderId="0" xfId="0" applyFont="1" applyFill="1" applyAlignment="1">
      <alignment horizontal="centerContinuous"/>
    </xf>
    <xf numFmtId="0" fontId="6" fillId="2" borderId="0" xfId="0" applyFont="1" applyFill="1" applyAlignment="1">
      <alignment horizontal="centerContinuous"/>
    </xf>
    <xf numFmtId="0" fontId="7" fillId="0" borderId="0" xfId="0" applyFont="1"/>
    <xf numFmtId="0" fontId="8" fillId="0" borderId="2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14" fontId="9" fillId="0" borderId="0" xfId="0" applyNumberFormat="1" applyFont="1"/>
    <xf numFmtId="169" fontId="9" fillId="0" borderId="0" xfId="0" applyNumberFormat="1" applyFont="1"/>
    <xf numFmtId="14" fontId="10" fillId="0" borderId="0" xfId="0" applyNumberFormat="1" applyFont="1"/>
    <xf numFmtId="171" fontId="9" fillId="0" borderId="0" xfId="0" applyNumberFormat="1" applyFont="1"/>
    <xf numFmtId="171" fontId="0" fillId="0" borderId="0" xfId="0" applyNumberFormat="1"/>
    <xf numFmtId="171" fontId="10" fillId="0" borderId="0" xfId="0" applyNumberFormat="1" applyFont="1"/>
    <xf numFmtId="171" fontId="10" fillId="0" borderId="3" xfId="0" applyNumberFormat="1" applyFont="1" applyBorder="1"/>
    <xf numFmtId="173" fontId="10" fillId="0" borderId="0" xfId="0" applyNumberFormat="1" applyFont="1"/>
    <xf numFmtId="174" fontId="9" fillId="0" borderId="0" xfId="0" applyNumberFormat="1" applyFont="1"/>
    <xf numFmtId="0" fontId="9" fillId="0" borderId="0" xfId="0" applyFont="1"/>
    <xf numFmtId="0" fontId="8" fillId="0" borderId="0" xfId="0" applyFont="1"/>
    <xf numFmtId="173" fontId="11" fillId="0" borderId="4" xfId="0" applyNumberFormat="1" applyFont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73" fontId="9" fillId="0" borderId="0" xfId="0" applyNumberFormat="1" applyFont="1"/>
    <xf numFmtId="169" fontId="0" fillId="0" borderId="0" xfId="0" applyNumberFormat="1"/>
    <xf numFmtId="169" fontId="9" fillId="0" borderId="0" xfId="0" applyNumberFormat="1" applyFont="1" applyAlignment="1">
      <alignment horizontal="right"/>
    </xf>
    <xf numFmtId="169" fontId="9" fillId="0" borderId="0" xfId="0" applyNumberFormat="1" applyFont="1" applyFill="1" applyBorder="1" applyAlignment="1"/>
    <xf numFmtId="168" fontId="9" fillId="0" borderId="0" xfId="0" applyNumberFormat="1" applyFont="1"/>
    <xf numFmtId="170" fontId="10" fillId="0" borderId="0" xfId="0" applyNumberFormat="1" applyFont="1" applyFill="1" applyBorder="1" applyAlignment="1"/>
    <xf numFmtId="170" fontId="2" fillId="0" borderId="0" xfId="0" applyNumberFormat="1" applyFont="1" applyFill="1" applyBorder="1" applyAlignment="1"/>
    <xf numFmtId="14" fontId="9" fillId="0" borderId="0" xfId="0" applyNumberFormat="1" applyFont="1" applyAlignment="1">
      <alignment horizontal="centerContinuous"/>
    </xf>
    <xf numFmtId="14" fontId="0" fillId="0" borderId="0" xfId="0" applyNumberFormat="1" applyAlignment="1">
      <alignment horizontal="centerContinuous"/>
    </xf>
    <xf numFmtId="0" fontId="0" fillId="0" borderId="2" xfId="0" applyBorder="1" applyAlignment="1">
      <alignment horizontal="centerContinuous"/>
    </xf>
    <xf numFmtId="169" fontId="10" fillId="0" borderId="0" xfId="0" applyNumberFormat="1" applyFont="1"/>
    <xf numFmtId="175" fontId="9" fillId="0" borderId="0" xfId="0" applyNumberFormat="1" applyFont="1"/>
    <xf numFmtId="176" fontId="10" fillId="0" borderId="0" xfId="0" applyNumberFormat="1" applyFont="1"/>
    <xf numFmtId="175" fontId="10" fillId="0" borderId="0" xfId="0" applyNumberFormat="1" applyFont="1"/>
    <xf numFmtId="0" fontId="8" fillId="0" borderId="0" xfId="0" applyFont="1" applyAlignment="1">
      <alignment horizontal="right"/>
    </xf>
    <xf numFmtId="171" fontId="11" fillId="0" borderId="3" xfId="0" applyNumberFormat="1" applyFont="1" applyBorder="1"/>
    <xf numFmtId="0" fontId="0" fillId="0" borderId="0" xfId="0" applyAlignment="1"/>
    <xf numFmtId="0" fontId="9" fillId="0" borderId="0" xfId="0" applyFont="1" applyAlignment="1">
      <alignment horizontal="centerContinuous"/>
    </xf>
    <xf numFmtId="0" fontId="13" fillId="0" borderId="0" xfId="0" applyFont="1"/>
    <xf numFmtId="0" fontId="9" fillId="0" borderId="0" xfId="0" applyNumberFormat="1" applyFont="1" applyBorder="1" applyAlignment="1">
      <alignment horizontal="center"/>
    </xf>
    <xf numFmtId="168" fontId="14" fillId="0" borderId="0" xfId="0" applyNumberFormat="1" applyFont="1"/>
    <xf numFmtId="170" fontId="9" fillId="0" borderId="0" xfId="0" applyNumberFormat="1" applyFont="1" applyBorder="1" applyAlignment="1">
      <alignment horizontal="center"/>
    </xf>
    <xf numFmtId="10" fontId="14" fillId="0" borderId="0" xfId="0" applyNumberFormat="1" applyFont="1"/>
    <xf numFmtId="0" fontId="0" fillId="0" borderId="0" xfId="0" applyFill="1"/>
    <xf numFmtId="172" fontId="9" fillId="0" borderId="0" xfId="0" applyNumberFormat="1" applyFont="1" applyFill="1"/>
    <xf numFmtId="0" fontId="10" fillId="0" borderId="0" xfId="0" applyNumberFormat="1" applyFont="1"/>
    <xf numFmtId="173" fontId="15" fillId="0" borderId="0" xfId="0" applyNumberFormat="1" applyFont="1"/>
    <xf numFmtId="168" fontId="16" fillId="0" borderId="0" xfId="0" applyNumberFormat="1" applyFont="1"/>
    <xf numFmtId="172" fontId="15" fillId="0" borderId="0" xfId="0" applyNumberFormat="1" applyFont="1"/>
    <xf numFmtId="172" fontId="9" fillId="0" borderId="0" xfId="0" applyNumberFormat="1" applyFont="1"/>
    <xf numFmtId="168" fontId="17" fillId="0" borderId="0" xfId="0" applyNumberFormat="1" applyFont="1"/>
    <xf numFmtId="0" fontId="8" fillId="0" borderId="0" xfId="0" applyFont="1" applyFill="1" applyAlignment="1">
      <alignment horizontal="centerContinuous"/>
    </xf>
    <xf numFmtId="0" fontId="19" fillId="0" borderId="1" xfId="0" applyFont="1" applyBorder="1"/>
    <xf numFmtId="0" fontId="20" fillId="0" borderId="0" xfId="0" applyFont="1"/>
    <xf numFmtId="177" fontId="11" fillId="0" borderId="2" xfId="0" applyNumberFormat="1" applyFont="1" applyBorder="1" applyAlignment="1">
      <alignment horizontal="center"/>
    </xf>
    <xf numFmtId="177" fontId="21" fillId="0" borderId="5" xfId="0" applyNumberFormat="1" applyFont="1" applyFill="1" applyBorder="1" applyAlignment="1">
      <alignment horizontal="center"/>
    </xf>
    <xf numFmtId="173" fontId="8" fillId="0" borderId="0" xfId="0" applyNumberFormat="1" applyFont="1"/>
    <xf numFmtId="173" fontId="7" fillId="0" borderId="0" xfId="0" applyNumberFormat="1" applyFont="1"/>
    <xf numFmtId="0" fontId="20" fillId="0" borderId="0" xfId="0" applyFont="1" applyAlignment="1">
      <alignment horizontal="right"/>
    </xf>
    <xf numFmtId="168" fontId="22" fillId="0" borderId="0" xfId="0" applyNumberFormat="1" applyFont="1"/>
    <xf numFmtId="174" fontId="0" fillId="0" borderId="0" xfId="0" applyNumberFormat="1"/>
    <xf numFmtId="168" fontId="22" fillId="0" borderId="0" xfId="0" applyNumberFormat="1" applyFont="1" applyAlignment="1">
      <alignment horizontal="right"/>
    </xf>
    <xf numFmtId="173" fontId="10" fillId="0" borderId="3" xfId="0" applyNumberFormat="1" applyFont="1" applyBorder="1"/>
    <xf numFmtId="174" fontId="9" fillId="0" borderId="0" xfId="0" applyNumberFormat="1" applyFont="1" applyFill="1" applyBorder="1" applyAlignme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173" fontId="11" fillId="0" borderId="0" xfId="0" applyNumberFormat="1" applyFont="1" applyBorder="1"/>
    <xf numFmtId="0" fontId="8" fillId="0" borderId="8" xfId="0" applyFont="1" applyBorder="1"/>
    <xf numFmtId="0" fontId="20" fillId="0" borderId="0" xfId="0" applyFont="1" applyBorder="1"/>
    <xf numFmtId="168" fontId="22" fillId="0" borderId="0" xfId="0" applyNumberFormat="1" applyFont="1" applyBorder="1" applyAlignment="1">
      <alignment horizontal="right"/>
    </xf>
    <xf numFmtId="0" fontId="20" fillId="0" borderId="8" xfId="0" applyFont="1" applyBorder="1"/>
    <xf numFmtId="0" fontId="0" fillId="0" borderId="0" xfId="0" applyBorder="1"/>
    <xf numFmtId="0" fontId="0" fillId="0" borderId="8" xfId="0" applyBorder="1"/>
    <xf numFmtId="174" fontId="0" fillId="0" borderId="0" xfId="0" applyNumberFormat="1" applyBorder="1"/>
    <xf numFmtId="174" fontId="9" fillId="0" borderId="0" xfId="0" applyNumberFormat="1" applyFont="1" applyBorder="1"/>
    <xf numFmtId="174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1" fillId="0" borderId="0" xfId="0" applyNumberFormat="1" applyFont="1" applyFill="1" applyBorder="1" applyAlignment="1"/>
    <xf numFmtId="43" fontId="9" fillId="0" borderId="0" xfId="1" applyFont="1"/>
    <xf numFmtId="173" fontId="11" fillId="0" borderId="0" xfId="0" applyNumberFormat="1" applyFont="1"/>
    <xf numFmtId="0" fontId="8" fillId="0" borderId="11" xfId="0" applyFont="1" applyBorder="1"/>
    <xf numFmtId="169" fontId="11" fillId="0" borderId="11" xfId="0" applyNumberFormat="1" applyFont="1" applyBorder="1"/>
    <xf numFmtId="0" fontId="8" fillId="0" borderId="12" xfId="0" applyFont="1" applyBorder="1"/>
    <xf numFmtId="174" fontId="10" fillId="0" borderId="0" xfId="0" applyNumberFormat="1" applyFont="1"/>
    <xf numFmtId="173" fontId="0" fillId="0" borderId="0" xfId="0" applyNumberFormat="1"/>
    <xf numFmtId="178" fontId="10" fillId="0" borderId="3" xfId="0" applyNumberFormat="1" applyFont="1" applyBorder="1"/>
    <xf numFmtId="0" fontId="0" fillId="0" borderId="13" xfId="0" applyBorder="1"/>
    <xf numFmtId="0" fontId="8" fillId="0" borderId="0" xfId="0" applyFont="1" applyBorder="1" applyAlignment="1">
      <alignment horizontal="left"/>
    </xf>
    <xf numFmtId="177" fontId="21" fillId="0" borderId="0" xfId="0" applyNumberFormat="1" applyFont="1" applyFill="1" applyBorder="1" applyAlignment="1">
      <alignment horizontal="center"/>
    </xf>
    <xf numFmtId="179" fontId="11" fillId="0" borderId="2" xfId="0" applyNumberFormat="1" applyFont="1" applyBorder="1" applyAlignment="1">
      <alignment horizontal="center"/>
    </xf>
    <xf numFmtId="173" fontId="10" fillId="0" borderId="0" xfId="0" applyNumberFormat="1" applyFont="1" applyBorder="1"/>
    <xf numFmtId="0" fontId="4" fillId="0" borderId="0" xfId="0" applyFont="1" applyBorder="1"/>
    <xf numFmtId="174" fontId="10" fillId="0" borderId="0" xfId="0" applyNumberFormat="1" applyFont="1" applyBorder="1"/>
    <xf numFmtId="43" fontId="0" fillId="0" borderId="0" xfId="1" applyNumberFormat="1" applyFont="1"/>
    <xf numFmtId="0" fontId="8" fillId="0" borderId="0" xfId="0" applyFont="1" applyAlignment="1">
      <alignment horizontal="center"/>
    </xf>
    <xf numFmtId="179" fontId="11" fillId="0" borderId="0" xfId="0" applyNumberFormat="1" applyFont="1" applyBorder="1" applyAlignment="1">
      <alignment horizontal="center"/>
    </xf>
    <xf numFmtId="180" fontId="11" fillId="0" borderId="2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43" fontId="10" fillId="0" borderId="0" xfId="1" applyFont="1"/>
    <xf numFmtId="43" fontId="1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/>
    <xf numFmtId="173" fontId="11" fillId="0" borderId="3" xfId="0" applyNumberFormat="1" applyFont="1" applyBorder="1"/>
    <xf numFmtId="168" fontId="14" fillId="0" borderId="0" xfId="0" applyNumberFormat="1" applyFont="1" applyBorder="1" applyAlignment="1">
      <alignment horizontal="right"/>
    </xf>
    <xf numFmtId="0" fontId="23" fillId="0" borderId="0" xfId="0" applyFont="1"/>
    <xf numFmtId="177" fontId="8" fillId="0" borderId="2" xfId="0" applyNumberFormat="1" applyFont="1" applyBorder="1" applyAlignment="1">
      <alignment horizontal="center"/>
    </xf>
    <xf numFmtId="0" fontId="24" fillId="0" borderId="0" xfId="0" applyFont="1"/>
    <xf numFmtId="177" fontId="21" fillId="0" borderId="2" xfId="0" applyNumberFormat="1" applyFont="1" applyBorder="1" applyAlignment="1">
      <alignment horizontal="center"/>
    </xf>
    <xf numFmtId="168" fontId="14" fillId="0" borderId="0" xfId="0" applyNumberFormat="1" applyFont="1" applyAlignment="1">
      <alignment horizontal="right"/>
    </xf>
    <xf numFmtId="174" fontId="9" fillId="0" borderId="0" xfId="1" applyNumberFormat="1" applyFont="1"/>
    <xf numFmtId="171" fontId="25" fillId="0" borderId="0" xfId="0" applyNumberFormat="1" applyFont="1"/>
    <xf numFmtId="171" fontId="1" fillId="0" borderId="0" xfId="0" applyNumberFormat="1" applyFont="1"/>
    <xf numFmtId="178" fontId="0" fillId="0" borderId="0" xfId="0" applyNumberFormat="1" applyBorder="1"/>
  </cellXfs>
  <cellStyles count="2">
    <cellStyle name="Comma" xfId="1" builtinId="3"/>
    <cellStyle name="Normal" xfId="0" builtinId="0"/>
  </cellStyles>
  <dxfs count="3">
    <dxf>
      <font>
        <i val="0"/>
        <condense val="0"/>
        <extend val="0"/>
        <color indexed="10"/>
      </font>
    </dxf>
    <dxf>
      <font>
        <i val="0"/>
        <condense val="0"/>
        <extend val="0"/>
        <color indexed="10"/>
      </font>
    </dxf>
    <dxf>
      <font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macabacus.com/free-trial?utm_source=macabacustemplate&amp;utm_medium=exceltemplate&amp;utm_campaign=macabacustemplate&amp;utm_content=target-inc-stmt-v2.xls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21166</xdr:colOff>
      <xdr:row>2</xdr:row>
      <xdr:rowOff>6351</xdr:rowOff>
    </xdr:to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9E6DD9-3FF7-4624-B0B3-A46C5E564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44" y="165806"/>
          <a:ext cx="5506861" cy="743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14</xdr:col>
      <xdr:colOff>21166</xdr:colOff>
      <xdr:row>77</xdr:row>
      <xdr:rowOff>80434</xdr:rowOff>
    </xdr:to>
    <xdr:pic>
      <xdr:nvPicPr>
        <xdr:cNvPr id="3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CD7DB1-ABA9-4C0C-8212-EB5D30E3A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44" y="12886972"/>
          <a:ext cx="5506861" cy="743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Administrator\My%20Documents\M&amp;A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Merger --&gt;&gt;"/>
      <sheetName val="Contribution"/>
      <sheetName val="Acc-Dil"/>
      <sheetName val="PPR"/>
      <sheetName val="S&amp;U"/>
      <sheetName val="GAAP"/>
      <sheetName val="Pro Forma --&gt;&gt;"/>
      <sheetName val="BS"/>
      <sheetName val="IS"/>
      <sheetName val="Inputs --&gt;&gt;"/>
      <sheetName val="Acquirer"/>
      <sheetName val="Target"/>
      <sheetName val="Valuation --&gt;&gt;"/>
      <sheetName val="LBO"/>
      <sheetName val="D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4">
          <cell r="AF34">
            <v>2.7799999999999998E-2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T70"/>
  <sheetViews>
    <sheetView showGridLines="0" tabSelected="1" topLeftCell="A65" zoomScale="90" workbookViewId="0">
      <selection activeCell="R75" sqref="R75"/>
    </sheetView>
  </sheetViews>
  <sheetFormatPr defaultRowHeight="13" x14ac:dyDescent="0.6"/>
  <cols>
    <col min="1" max="1" width="1.7265625" customWidth="1"/>
    <col min="2" max="2" width="9.7265625" customWidth="1"/>
    <col min="3" max="3" width="1.7265625" customWidth="1"/>
    <col min="4" max="4" width="9.7265625" customWidth="1"/>
    <col min="5" max="5" width="1.7265625" customWidth="1"/>
    <col min="6" max="6" width="9.7265625" customWidth="1"/>
    <col min="7" max="7" width="1.7265625" customWidth="1"/>
    <col min="8" max="8" width="9.7265625" customWidth="1"/>
    <col min="9" max="9" width="1.7265625" customWidth="1"/>
    <col min="10" max="10" width="9.7265625" customWidth="1"/>
    <col min="11" max="11" width="1.7265625" customWidth="1"/>
    <col min="12" max="12" width="9.7265625" customWidth="1"/>
    <col min="13" max="13" width="1.7265625" customWidth="1"/>
    <col min="14" max="14" width="9.7265625" customWidth="1"/>
    <col min="15" max="15" width="1.7265625" customWidth="1"/>
  </cols>
  <sheetData>
    <row r="2" spans="1:20" ht="58" customHeight="1" x14ac:dyDescent="0.6"/>
    <row r="4" spans="1:20" ht="24" customHeight="1" thickBot="1" x14ac:dyDescent="1.1000000000000001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6">
      <c r="A5" s="3" t="s">
        <v>1</v>
      </c>
    </row>
    <row r="7" spans="1:20" x14ac:dyDescent="0.6">
      <c r="A7" s="4" t="s">
        <v>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P7" s="4" t="s">
        <v>56</v>
      </c>
      <c r="Q7" s="5"/>
      <c r="R7" s="5"/>
      <c r="S7" s="5"/>
      <c r="T7" s="5"/>
    </row>
    <row r="9" spans="1:20" ht="13.5" customHeight="1" thickBot="1" x14ac:dyDescent="0.75">
      <c r="A9" s="6"/>
      <c r="H9" s="7" t="s">
        <v>3</v>
      </c>
      <c r="I9" s="7"/>
      <c r="J9" s="7"/>
      <c r="L9" s="7" t="s">
        <v>4</v>
      </c>
      <c r="M9" s="7"/>
      <c r="N9" s="7"/>
      <c r="P9" s="41" t="s">
        <v>57</v>
      </c>
    </row>
    <row r="10" spans="1:20" x14ac:dyDescent="0.6">
      <c r="L10" s="8"/>
      <c r="M10" s="8"/>
      <c r="N10" s="8"/>
      <c r="P10" t="s">
        <v>58</v>
      </c>
      <c r="T10" s="42">
        <v>3</v>
      </c>
    </row>
    <row r="11" spans="1:20" x14ac:dyDescent="0.6">
      <c r="A11" t="s">
        <v>5</v>
      </c>
      <c r="H11" s="40" t="s">
        <v>6</v>
      </c>
      <c r="I11" s="40"/>
      <c r="J11" s="40"/>
      <c r="K11" s="18"/>
      <c r="L11" s="40" t="s">
        <v>7</v>
      </c>
      <c r="M11" s="8"/>
      <c r="N11" s="8"/>
      <c r="P11" t="s">
        <v>59</v>
      </c>
      <c r="T11" s="43">
        <v>0.4</v>
      </c>
    </row>
    <row r="12" spans="1:20" x14ac:dyDescent="0.6">
      <c r="A12" t="s">
        <v>8</v>
      </c>
      <c r="H12" s="40" t="s">
        <v>9</v>
      </c>
      <c r="I12" s="40"/>
      <c r="J12" s="40"/>
      <c r="K12" s="18"/>
      <c r="L12" s="40" t="s">
        <v>10</v>
      </c>
      <c r="M12" s="8"/>
      <c r="N12" s="8"/>
    </row>
    <row r="13" spans="1:20" x14ac:dyDescent="0.6">
      <c r="P13" s="41" t="s">
        <v>60</v>
      </c>
    </row>
    <row r="14" spans="1:20" x14ac:dyDescent="0.6">
      <c r="A14" t="s">
        <v>11</v>
      </c>
      <c r="H14" s="9">
        <v>39585</v>
      </c>
      <c r="I14" s="10"/>
      <c r="J14" s="10">
        <v>31.75</v>
      </c>
      <c r="L14" s="11">
        <f>H14</f>
        <v>39585</v>
      </c>
      <c r="N14" s="10">
        <v>12.81</v>
      </c>
      <c r="P14" t="s">
        <v>61</v>
      </c>
      <c r="T14" s="42">
        <v>1</v>
      </c>
    </row>
    <row r="15" spans="1:20" x14ac:dyDescent="0.6">
      <c r="A15" t="s">
        <v>12</v>
      </c>
      <c r="H15" s="9">
        <v>39540</v>
      </c>
      <c r="J15" s="10">
        <v>40.36</v>
      </c>
      <c r="L15" s="9">
        <v>39237</v>
      </c>
      <c r="N15" s="10">
        <v>28.22</v>
      </c>
      <c r="P15" t="s">
        <v>62</v>
      </c>
      <c r="T15" s="42">
        <v>0</v>
      </c>
    </row>
    <row r="16" spans="1:20" x14ac:dyDescent="0.6">
      <c r="A16" t="s">
        <v>13</v>
      </c>
      <c r="H16" s="9">
        <v>39318</v>
      </c>
      <c r="J16" s="10">
        <v>27.18</v>
      </c>
      <c r="L16" s="9">
        <v>38881</v>
      </c>
      <c r="N16" s="10">
        <v>10.49</v>
      </c>
      <c r="P16" t="s">
        <v>63</v>
      </c>
      <c r="T16" s="44">
        <v>0</v>
      </c>
    </row>
    <row r="18" spans="1:20" x14ac:dyDescent="0.6">
      <c r="A18" t="s">
        <v>14</v>
      </c>
      <c r="J18" s="12">
        <v>207.05</v>
      </c>
      <c r="L18" s="13"/>
      <c r="N18" s="12">
        <v>34.921999999999997</v>
      </c>
      <c r="P18" s="41" t="s">
        <v>64</v>
      </c>
    </row>
    <row r="19" spans="1:20" x14ac:dyDescent="0.6">
      <c r="A19" t="s">
        <v>15</v>
      </c>
      <c r="J19" s="14">
        <f>N55</f>
        <v>2.8993685039370076</v>
      </c>
      <c r="L19" s="13"/>
      <c r="N19" s="14">
        <f>N70</f>
        <v>9.9206088992974312E-2</v>
      </c>
      <c r="P19" t="s">
        <v>65</v>
      </c>
      <c r="T19" s="45">
        <v>0.06</v>
      </c>
    </row>
    <row r="20" spans="1:20" ht="13.5" customHeight="1" thickBot="1" x14ac:dyDescent="0.75">
      <c r="A20" t="s">
        <v>16</v>
      </c>
      <c r="J20" s="14">
        <f>H32*H30+J32*J30</f>
        <v>0</v>
      </c>
      <c r="L20" s="13"/>
      <c r="N20" s="14">
        <f>L32*L30+N32*N30</f>
        <v>0</v>
      </c>
      <c r="P20" s="46" t="s">
        <v>66</v>
      </c>
      <c r="Q20" s="46"/>
      <c r="R20" s="46"/>
      <c r="S20" s="46"/>
      <c r="T20" s="47">
        <v>7</v>
      </c>
    </row>
    <row r="21" spans="1:20" x14ac:dyDescent="0.6">
      <c r="A21" t="s">
        <v>17</v>
      </c>
      <c r="J21" s="15">
        <f>SUM(J18:J20)</f>
        <v>209.94936850393702</v>
      </c>
      <c r="N21" s="15">
        <f>SUM(N18:N20)</f>
        <v>35.021206088992969</v>
      </c>
    </row>
    <row r="22" spans="1:20" x14ac:dyDescent="0.6">
      <c r="P22" s="41" t="s">
        <v>67</v>
      </c>
    </row>
    <row r="23" spans="1:20" x14ac:dyDescent="0.6">
      <c r="A23" t="s">
        <v>18</v>
      </c>
      <c r="J23" s="16">
        <f>acq_price*J21</f>
        <v>6665.8924500000003</v>
      </c>
      <c r="N23" s="16">
        <f>tgt_price*N21</f>
        <v>448.62164999999993</v>
      </c>
      <c r="P23" s="48" t="s">
        <v>68</v>
      </c>
      <c r="T23" s="43">
        <v>0.02</v>
      </c>
    </row>
    <row r="24" spans="1:20" ht="13.5" customHeight="1" thickBot="1" x14ac:dyDescent="0.75">
      <c r="A24" t="s">
        <v>19</v>
      </c>
      <c r="J24" s="17">
        <v>-729.61900000000003</v>
      </c>
      <c r="K24" s="18"/>
      <c r="L24" s="18"/>
      <c r="M24" s="18"/>
      <c r="N24" s="17">
        <v>83.394000000000005</v>
      </c>
      <c r="P24" t="s">
        <v>69</v>
      </c>
      <c r="T24" s="49">
        <v>100</v>
      </c>
    </row>
    <row r="25" spans="1:20" ht="13.5" customHeight="1" thickBot="1" x14ac:dyDescent="0.75">
      <c r="A25" s="19" t="s">
        <v>20</v>
      </c>
      <c r="B25" s="19"/>
      <c r="C25" s="19"/>
      <c r="D25" s="19"/>
      <c r="E25" s="19"/>
      <c r="F25" s="19"/>
      <c r="G25" s="19"/>
      <c r="H25" s="19"/>
      <c r="I25" s="19"/>
      <c r="J25" s="20">
        <f>SUM(J23:J24)</f>
        <v>5936.2734500000006</v>
      </c>
      <c r="K25" s="19"/>
      <c r="L25" s="19"/>
      <c r="M25" s="19"/>
      <c r="N25" s="20">
        <f>SUM(N23:N24)</f>
        <v>532.01564999999994</v>
      </c>
    </row>
    <row r="26" spans="1:20" ht="13.5" customHeight="1" thickTop="1" x14ac:dyDescent="0.6">
      <c r="P26" s="41" t="s">
        <v>70</v>
      </c>
    </row>
    <row r="27" spans="1:20" ht="13.5" customHeight="1" thickBot="1" x14ac:dyDescent="0.75">
      <c r="H27" s="21" t="s">
        <v>21</v>
      </c>
      <c r="I27" s="22"/>
      <c r="J27" s="21" t="s">
        <v>22</v>
      </c>
      <c r="L27" s="21" t="s">
        <v>21</v>
      </c>
      <c r="N27" s="21" t="s">
        <v>22</v>
      </c>
      <c r="P27" t="s">
        <v>71</v>
      </c>
      <c r="T27" s="23">
        <v>30</v>
      </c>
    </row>
    <row r="28" spans="1:20" x14ac:dyDescent="0.6">
      <c r="A28" t="s">
        <v>23</v>
      </c>
      <c r="H28" s="23">
        <v>450</v>
      </c>
      <c r="J28" s="23">
        <v>0</v>
      </c>
      <c r="L28" s="23">
        <v>230</v>
      </c>
      <c r="N28" s="23">
        <v>0</v>
      </c>
      <c r="P28" t="s">
        <v>72</v>
      </c>
      <c r="T28" s="43">
        <v>0.01</v>
      </c>
    </row>
    <row r="29" spans="1:20" ht="12.75" customHeight="1" x14ac:dyDescent="0.6">
      <c r="A29" t="s">
        <v>24</v>
      </c>
      <c r="H29" s="10">
        <v>43.12</v>
      </c>
      <c r="I29" s="24"/>
      <c r="J29" s="25" t="s">
        <v>25</v>
      </c>
      <c r="L29" s="26">
        <v>26.77</v>
      </c>
      <c r="N29" s="25" t="s">
        <v>25</v>
      </c>
    </row>
    <row r="30" spans="1:20" x14ac:dyDescent="0.6">
      <c r="A30" t="s">
        <v>26</v>
      </c>
      <c r="H30" s="14">
        <f>IF(ISERROR(H28/H29),0,H28/H29)</f>
        <v>10.435992578849723</v>
      </c>
      <c r="J30" s="14">
        <f>IF(ISERROR(J28/J29),0,J28/J29)</f>
        <v>0</v>
      </c>
      <c r="L30" s="14">
        <f>IF(ISERROR(L28/L29),0,L28/L29)</f>
        <v>8.591707134852447</v>
      </c>
      <c r="N30" s="14">
        <f>IF(ISERROR(N28/N29),0,N28/N29)</f>
        <v>0</v>
      </c>
      <c r="P30" s="41" t="s">
        <v>73</v>
      </c>
    </row>
    <row r="31" spans="1:20" x14ac:dyDescent="0.6">
      <c r="A31" t="s">
        <v>27</v>
      </c>
      <c r="H31" s="27">
        <v>5.0000000000000001E-3</v>
      </c>
      <c r="J31" s="27">
        <v>0</v>
      </c>
      <c r="L31" s="27">
        <v>2.5000000000000001E-2</v>
      </c>
      <c r="N31" s="27">
        <v>0</v>
      </c>
      <c r="P31" t="s">
        <v>74</v>
      </c>
      <c r="T31" s="44">
        <v>1</v>
      </c>
    </row>
    <row r="32" spans="1:20" ht="12.75" customHeight="1" x14ac:dyDescent="0.6">
      <c r="A32" t="s">
        <v>28</v>
      </c>
      <c r="H32" s="28">
        <f>IF(H29&gt;acq_price,0,1)</f>
        <v>0</v>
      </c>
      <c r="I32" s="29"/>
      <c r="J32" s="28">
        <f>IF(J29&gt;acq_price,0,1)</f>
        <v>0</v>
      </c>
      <c r="L32" s="28">
        <f>IF(L29&gt;tgt_price,0,1)</f>
        <v>0</v>
      </c>
      <c r="N32" s="28">
        <f>IF(N29&gt;tgt_price,0,1)</f>
        <v>0</v>
      </c>
      <c r="P32" t="s">
        <v>75</v>
      </c>
      <c r="T32" s="23">
        <v>25</v>
      </c>
    </row>
    <row r="33" spans="1:20" x14ac:dyDescent="0.6">
      <c r="P33" t="s">
        <v>76</v>
      </c>
      <c r="T33" s="23">
        <v>50</v>
      </c>
    </row>
    <row r="34" spans="1:20" x14ac:dyDescent="0.6">
      <c r="A34" t="s">
        <v>29</v>
      </c>
      <c r="H34" s="30">
        <v>39538</v>
      </c>
      <c r="I34" s="8"/>
      <c r="J34" s="8"/>
      <c r="L34" s="30">
        <v>39538</v>
      </c>
      <c r="M34" s="8"/>
      <c r="N34" s="8"/>
    </row>
    <row r="35" spans="1:20" x14ac:dyDescent="0.6">
      <c r="A35" t="s">
        <v>30</v>
      </c>
      <c r="H35" s="30">
        <v>39355</v>
      </c>
      <c r="I35" s="8"/>
      <c r="J35" s="8"/>
      <c r="L35" s="30">
        <v>39447</v>
      </c>
      <c r="M35" s="8"/>
      <c r="N35" s="8"/>
      <c r="P35" s="41" t="s">
        <v>77</v>
      </c>
    </row>
    <row r="36" spans="1:20" x14ac:dyDescent="0.6">
      <c r="H36" s="31"/>
      <c r="I36" s="8"/>
      <c r="J36" s="8"/>
      <c r="L36" s="31"/>
      <c r="M36" s="8"/>
      <c r="N36" s="8"/>
      <c r="P36" t="s">
        <v>78</v>
      </c>
      <c r="T36" s="50">
        <v>0.25</v>
      </c>
    </row>
    <row r="37" spans="1:20" x14ac:dyDescent="0.6">
      <c r="A37" t="s">
        <v>31</v>
      </c>
      <c r="H37" s="40" t="s">
        <v>32</v>
      </c>
      <c r="I37" s="40"/>
      <c r="J37" s="40"/>
      <c r="K37" s="18"/>
      <c r="L37" s="40" t="s">
        <v>33</v>
      </c>
      <c r="M37" s="40"/>
      <c r="N37" s="8"/>
      <c r="P37" t="s">
        <v>79</v>
      </c>
      <c r="T37" s="51">
        <v>5</v>
      </c>
    </row>
    <row r="38" spans="1:20" x14ac:dyDescent="0.6">
      <c r="A38" t="s">
        <v>34</v>
      </c>
      <c r="H38" s="30">
        <v>39562</v>
      </c>
      <c r="I38" s="40"/>
      <c r="J38" s="40"/>
      <c r="K38" s="18"/>
      <c r="L38" s="30">
        <v>39565</v>
      </c>
      <c r="M38" s="40"/>
      <c r="N38" s="8"/>
      <c r="P38" t="s">
        <v>80</v>
      </c>
      <c r="T38" s="49">
        <v>15</v>
      </c>
    </row>
    <row r="39" spans="1:20" x14ac:dyDescent="0.6">
      <c r="N39" s="31"/>
      <c r="P39" t="s">
        <v>81</v>
      </c>
      <c r="T39" s="52">
        <v>10</v>
      </c>
    </row>
    <row r="40" spans="1:20" x14ac:dyDescent="0.6">
      <c r="A40" s="4" t="s">
        <v>35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20" x14ac:dyDescent="0.6">
      <c r="P41" s="41" t="s">
        <v>82</v>
      </c>
    </row>
    <row r="42" spans="1:20" ht="13.5" customHeight="1" thickBot="1" x14ac:dyDescent="0.75">
      <c r="D42" s="7" t="str">
        <f>acq</f>
        <v>BuyerCo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P42" t="s">
        <v>83</v>
      </c>
      <c r="T42" s="53"/>
    </row>
    <row r="43" spans="1:20" x14ac:dyDescent="0.6">
      <c r="D43" s="22" t="s">
        <v>36</v>
      </c>
      <c r="F43" s="22" t="s">
        <v>37</v>
      </c>
      <c r="H43" s="22" t="s">
        <v>38</v>
      </c>
      <c r="J43" s="22" t="s">
        <v>38</v>
      </c>
      <c r="L43" s="22" t="s">
        <v>38</v>
      </c>
      <c r="N43" s="22" t="s">
        <v>39</v>
      </c>
      <c r="P43" t="s">
        <v>84</v>
      </c>
      <c r="Q43" s="54"/>
      <c r="R43" s="54"/>
      <c r="S43" s="54"/>
      <c r="T43" s="42" t="s">
        <v>85</v>
      </c>
    </row>
    <row r="44" spans="1:20" ht="13.5" customHeight="1" thickBot="1" x14ac:dyDescent="0.75">
      <c r="D44" s="21" t="s">
        <v>40</v>
      </c>
      <c r="F44" s="21" t="s">
        <v>41</v>
      </c>
      <c r="H44" s="21" t="s">
        <v>40</v>
      </c>
      <c r="J44" s="21" t="s">
        <v>42</v>
      </c>
      <c r="L44" s="21" t="s">
        <v>43</v>
      </c>
      <c r="N44" s="21" t="s">
        <v>44</v>
      </c>
      <c r="P44" t="s">
        <v>86</v>
      </c>
      <c r="Q44" s="54"/>
      <c r="R44" s="54"/>
      <c r="S44" s="54"/>
      <c r="T44" s="42" t="s">
        <v>67</v>
      </c>
    </row>
    <row r="45" spans="1:20" x14ac:dyDescent="0.6">
      <c r="A45" t="s">
        <v>45</v>
      </c>
      <c r="D45" s="12">
        <v>0.27</v>
      </c>
      <c r="F45" s="10">
        <v>2.31</v>
      </c>
      <c r="H45" s="14">
        <f>D45</f>
        <v>0.27</v>
      </c>
      <c r="J45" s="16">
        <f>F45*D45</f>
        <v>0.62370000000000003</v>
      </c>
      <c r="L45" s="33">
        <f t="shared" ref="L45:L54" si="0">J45/H45</f>
        <v>2.31</v>
      </c>
      <c r="N45" s="14">
        <f t="shared" ref="N45:N54" si="1">IF(F45&lt;acq_price,D45-D45*F45/acq_price,0)</f>
        <v>0.25035590551181103</v>
      </c>
    </row>
    <row r="46" spans="1:20" x14ac:dyDescent="0.6">
      <c r="A46" t="s">
        <v>46</v>
      </c>
      <c r="D46" s="12">
        <v>1.548</v>
      </c>
      <c r="F46" s="34">
        <v>12.31</v>
      </c>
      <c r="H46" s="14">
        <f t="shared" ref="H46:H54" si="2">H45+D46</f>
        <v>1.8180000000000001</v>
      </c>
      <c r="J46" s="35">
        <f>SUMPRODUCT(F$45:F46,D$45:D46)</f>
        <v>19.679580000000001</v>
      </c>
      <c r="L46" s="36">
        <f t="shared" si="0"/>
        <v>10.824851485148516</v>
      </c>
      <c r="N46" s="14">
        <f t="shared" si="1"/>
        <v>0.94781480314960631</v>
      </c>
    </row>
    <row r="47" spans="1:20" ht="12.75" customHeight="1" x14ac:dyDescent="0.6">
      <c r="A47" t="s">
        <v>47</v>
      </c>
      <c r="D47" s="12">
        <v>2.855</v>
      </c>
      <c r="F47" s="34">
        <v>22</v>
      </c>
      <c r="H47" s="14">
        <f t="shared" si="2"/>
        <v>4.673</v>
      </c>
      <c r="J47" s="35">
        <f>SUMPRODUCT(F$45:F47,D$45:D47)</f>
        <v>82.489580000000004</v>
      </c>
      <c r="L47" s="36">
        <f t="shared" si="0"/>
        <v>17.652381767601113</v>
      </c>
      <c r="N47" s="14">
        <f t="shared" si="1"/>
        <v>0.87673228346456678</v>
      </c>
    </row>
    <row r="48" spans="1:20" x14ac:dyDescent="0.6">
      <c r="A48" t="s">
        <v>48</v>
      </c>
      <c r="D48" s="12">
        <v>2.431</v>
      </c>
      <c r="F48" s="34">
        <v>25.07</v>
      </c>
      <c r="H48" s="14">
        <f t="shared" si="2"/>
        <v>7.1040000000000001</v>
      </c>
      <c r="J48" s="35">
        <f>SUMPRODUCT(F$45:F48,D$45:D48)</f>
        <v>143.43475000000001</v>
      </c>
      <c r="L48" s="36">
        <f t="shared" si="0"/>
        <v>20.190702421171171</v>
      </c>
      <c r="N48" s="14">
        <f t="shared" si="1"/>
        <v>0.51146708661417306</v>
      </c>
    </row>
    <row r="49" spans="1:14" x14ac:dyDescent="0.6">
      <c r="A49" t="s">
        <v>49</v>
      </c>
      <c r="D49" s="12">
        <v>2.1819999999999999</v>
      </c>
      <c r="F49" s="34">
        <v>27.88</v>
      </c>
      <c r="H49" s="14">
        <f t="shared" si="2"/>
        <v>9.2859999999999996</v>
      </c>
      <c r="J49" s="35">
        <f>SUMPRODUCT(F$45:F49,D$45:D49)</f>
        <v>204.26891000000001</v>
      </c>
      <c r="L49" s="36">
        <f t="shared" si="0"/>
        <v>21.997513461124274</v>
      </c>
      <c r="N49" s="14">
        <f t="shared" si="1"/>
        <v>0.2659634645669291</v>
      </c>
    </row>
    <row r="50" spans="1:14" x14ac:dyDescent="0.6">
      <c r="A50" t="s">
        <v>50</v>
      </c>
      <c r="D50" s="12">
        <v>3.3940000000000001</v>
      </c>
      <c r="F50" s="34">
        <v>31.31</v>
      </c>
      <c r="H50" s="14">
        <f t="shared" si="2"/>
        <v>12.68</v>
      </c>
      <c r="J50" s="35">
        <f>SUMPRODUCT(F$45:F50,D$45:D50)</f>
        <v>310.53505000000001</v>
      </c>
      <c r="L50" s="36">
        <f t="shared" si="0"/>
        <v>24.49014589905363</v>
      </c>
      <c r="N50" s="14">
        <f t="shared" si="1"/>
        <v>4.7034960629921407E-2</v>
      </c>
    </row>
    <row r="51" spans="1:14" x14ac:dyDescent="0.6">
      <c r="A51" t="s">
        <v>51</v>
      </c>
      <c r="D51" s="12">
        <v>2.6779999999999999</v>
      </c>
      <c r="F51" s="34">
        <v>34.35</v>
      </c>
      <c r="H51" s="14">
        <f t="shared" si="2"/>
        <v>15.358000000000001</v>
      </c>
      <c r="J51" s="35">
        <f>SUMPRODUCT(F$45:F51,D$45:D51)</f>
        <v>402.52435000000003</v>
      </c>
      <c r="L51" s="36">
        <f t="shared" si="0"/>
        <v>26.209425055345751</v>
      </c>
      <c r="N51" s="14">
        <f t="shared" si="1"/>
        <v>0</v>
      </c>
    </row>
    <row r="52" spans="1:14" x14ac:dyDescent="0.6">
      <c r="A52" t="s">
        <v>52</v>
      </c>
      <c r="D52" s="12">
        <v>2.1379999999999999</v>
      </c>
      <c r="F52" s="34">
        <v>38.630000000000003</v>
      </c>
      <c r="H52" s="14">
        <f t="shared" si="2"/>
        <v>17.496000000000002</v>
      </c>
      <c r="J52" s="35">
        <f>SUMPRODUCT(F$45:F52,D$45:D52)</f>
        <v>485.11529000000002</v>
      </c>
      <c r="L52" s="36">
        <f t="shared" si="0"/>
        <v>27.727211362597163</v>
      </c>
      <c r="N52" s="14">
        <f t="shared" si="1"/>
        <v>0</v>
      </c>
    </row>
    <row r="53" spans="1:14" x14ac:dyDescent="0.6">
      <c r="A53" t="s">
        <v>53</v>
      </c>
      <c r="D53" s="12">
        <v>2.6309999999999998</v>
      </c>
      <c r="F53" s="34">
        <v>52.72</v>
      </c>
      <c r="H53" s="14">
        <f t="shared" si="2"/>
        <v>20.127000000000002</v>
      </c>
      <c r="J53" s="35">
        <f>SUMPRODUCT(F$45:F53,D$45:D53)</f>
        <v>623.82160999999996</v>
      </c>
      <c r="L53" s="36">
        <f t="shared" si="0"/>
        <v>30.994266905152276</v>
      </c>
      <c r="N53" s="14">
        <f t="shared" si="1"/>
        <v>0</v>
      </c>
    </row>
    <row r="54" spans="1:14" ht="13.5" customHeight="1" thickBot="1" x14ac:dyDescent="0.75">
      <c r="A54" t="s">
        <v>54</v>
      </c>
      <c r="D54" s="12">
        <v>0.32900000000000001</v>
      </c>
      <c r="F54" s="34">
        <v>70</v>
      </c>
      <c r="H54" s="14">
        <f t="shared" si="2"/>
        <v>20.456000000000003</v>
      </c>
      <c r="J54" s="35">
        <f>SUMPRODUCT(F$45:F54,D$45:D54)</f>
        <v>646.85160999999994</v>
      </c>
      <c r="L54" s="36">
        <f t="shared" si="0"/>
        <v>31.621607841220172</v>
      </c>
      <c r="N54" s="14">
        <f t="shared" si="1"/>
        <v>0</v>
      </c>
    </row>
    <row r="55" spans="1:14" x14ac:dyDescent="0.6">
      <c r="G55" s="19"/>
      <c r="H55" s="19"/>
      <c r="I55" s="19"/>
      <c r="J55" s="19"/>
      <c r="K55" s="19"/>
      <c r="L55" s="37" t="s">
        <v>55</v>
      </c>
      <c r="M55" s="19"/>
      <c r="N55" s="38">
        <f>SUM(N45:N54)</f>
        <v>2.8993685039370076</v>
      </c>
    </row>
    <row r="57" spans="1:14" ht="13.5" customHeight="1" thickBot="1" x14ac:dyDescent="0.75">
      <c r="D57" s="7" t="str">
        <f>tgt</f>
        <v>TargetCo</v>
      </c>
      <c r="E57" s="32"/>
      <c r="F57" s="32"/>
      <c r="G57" s="32"/>
      <c r="H57" s="32"/>
      <c r="I57" s="32"/>
      <c r="J57" s="32"/>
      <c r="K57" s="32"/>
      <c r="L57" s="32"/>
      <c r="M57" s="32"/>
      <c r="N57" s="32"/>
    </row>
    <row r="58" spans="1:14" x14ac:dyDescent="0.6">
      <c r="D58" s="39" t="s">
        <v>36</v>
      </c>
      <c r="F58" s="22" t="s">
        <v>37</v>
      </c>
      <c r="H58" s="22" t="s">
        <v>38</v>
      </c>
      <c r="J58" s="22" t="s">
        <v>38</v>
      </c>
      <c r="L58" s="22" t="s">
        <v>38</v>
      </c>
      <c r="N58" s="22" t="s">
        <v>39</v>
      </c>
    </row>
    <row r="59" spans="1:14" ht="13.5" customHeight="1" thickBot="1" x14ac:dyDescent="0.75">
      <c r="D59" s="21" t="s">
        <v>40</v>
      </c>
      <c r="F59" s="21" t="s">
        <v>41</v>
      </c>
      <c r="H59" s="21" t="s">
        <v>40</v>
      </c>
      <c r="J59" s="21" t="s">
        <v>42</v>
      </c>
      <c r="L59" s="21" t="s">
        <v>43</v>
      </c>
      <c r="N59" s="21" t="s">
        <v>44</v>
      </c>
    </row>
    <row r="60" spans="1:14" x14ac:dyDescent="0.6">
      <c r="A60" t="s">
        <v>45</v>
      </c>
      <c r="D60" s="12">
        <v>0.20899999999999999</v>
      </c>
      <c r="F60" s="10">
        <v>9.0399999999999991</v>
      </c>
      <c r="H60" s="14">
        <f>D60</f>
        <v>0.20899999999999999</v>
      </c>
      <c r="J60" s="16">
        <f>F60*D60</f>
        <v>1.8893599999999997</v>
      </c>
      <c r="L60" s="33">
        <f t="shared" ref="L60:L69" si="3">J60/H60</f>
        <v>9.0399999999999991</v>
      </c>
      <c r="N60" s="14">
        <f t="shared" ref="N60:N69" si="4">IF(F60&lt;tgt_price,D60-D60*F60/tgt_price,0)</f>
        <v>6.1508977361436401E-2</v>
      </c>
    </row>
    <row r="61" spans="1:14" x14ac:dyDescent="0.6">
      <c r="A61" t="s">
        <v>46</v>
      </c>
      <c r="D61" s="12">
        <v>5.8999999999999997E-2</v>
      </c>
      <c r="F61" s="34">
        <v>10.029999999999999</v>
      </c>
      <c r="H61" s="14">
        <f t="shared" ref="H61:H69" si="5">H60+D61</f>
        <v>0.26800000000000002</v>
      </c>
      <c r="J61" s="35">
        <f>SUMPRODUCT(F$60:F61,D$60:D61)</f>
        <v>2.4811299999999994</v>
      </c>
      <c r="L61" s="36">
        <f t="shared" si="3"/>
        <v>9.2579477611940266</v>
      </c>
      <c r="N61" s="14">
        <f t="shared" si="4"/>
        <v>1.2804059328649496E-2</v>
      </c>
    </row>
    <row r="62" spans="1:14" x14ac:dyDescent="0.6">
      <c r="A62" t="s">
        <v>47</v>
      </c>
      <c r="D62" s="12">
        <v>0.221</v>
      </c>
      <c r="F62" s="34">
        <v>11.53</v>
      </c>
      <c r="H62" s="14">
        <f t="shared" si="5"/>
        <v>0.48899999999999999</v>
      </c>
      <c r="J62" s="35">
        <f>SUMPRODUCT(F$60:F62,D$60:D62)</f>
        <v>5.029259999999999</v>
      </c>
      <c r="L62" s="36">
        <f t="shared" si="3"/>
        <v>10.284785276073618</v>
      </c>
      <c r="N62" s="14">
        <f t="shared" si="4"/>
        <v>2.2082747853239659E-2</v>
      </c>
    </row>
    <row r="63" spans="1:14" x14ac:dyDescent="0.6">
      <c r="A63" t="s">
        <v>48</v>
      </c>
      <c r="D63" s="12">
        <v>0.3</v>
      </c>
      <c r="F63" s="34">
        <v>12.69</v>
      </c>
      <c r="H63" s="14">
        <f t="shared" si="5"/>
        <v>0.78899999999999992</v>
      </c>
      <c r="J63" s="35">
        <f>SUMPRODUCT(F$60:F63,D$60:D63)</f>
        <v>8.8362599999999993</v>
      </c>
      <c r="L63" s="36">
        <f t="shared" si="3"/>
        <v>11.199315589353612</v>
      </c>
      <c r="N63" s="14">
        <f t="shared" si="4"/>
        <v>2.8103044496487484E-3</v>
      </c>
    </row>
    <row r="64" spans="1:14" x14ac:dyDescent="0.6">
      <c r="A64" t="s">
        <v>49</v>
      </c>
      <c r="D64" s="12">
        <v>0.26900000000000002</v>
      </c>
      <c r="F64" s="34">
        <v>19.54</v>
      </c>
      <c r="H64" s="14">
        <f t="shared" si="5"/>
        <v>1.0579999999999998</v>
      </c>
      <c r="J64" s="35">
        <f>SUMPRODUCT(F$60:F64,D$60:D64)</f>
        <v>14.09252</v>
      </c>
      <c r="L64" s="36">
        <f t="shared" si="3"/>
        <v>13.319962192816638</v>
      </c>
      <c r="N64" s="14">
        <f t="shared" si="4"/>
        <v>0</v>
      </c>
    </row>
    <row r="65" spans="1:14" x14ac:dyDescent="0.6">
      <c r="A65" t="s">
        <v>50</v>
      </c>
      <c r="D65" s="12">
        <v>0.21099999999999999</v>
      </c>
      <c r="F65" s="34">
        <v>27.06</v>
      </c>
      <c r="H65" s="14">
        <f t="shared" si="5"/>
        <v>1.2689999999999999</v>
      </c>
      <c r="J65" s="35">
        <f>SUMPRODUCT(F$60:F65,D$60:D65)</f>
        <v>19.80218</v>
      </c>
      <c r="L65" s="36">
        <f t="shared" si="3"/>
        <v>15.604554767533491</v>
      </c>
      <c r="N65" s="14">
        <f t="shared" si="4"/>
        <v>0</v>
      </c>
    </row>
    <row r="66" spans="1:14" x14ac:dyDescent="0.6">
      <c r="A66" t="s">
        <v>51</v>
      </c>
      <c r="D66" s="12">
        <v>0.187</v>
      </c>
      <c r="F66" s="34">
        <v>45.75</v>
      </c>
      <c r="H66" s="14">
        <f t="shared" si="5"/>
        <v>1.456</v>
      </c>
      <c r="J66" s="35">
        <f>SUMPRODUCT(F$60:F66,D$60:D66)</f>
        <v>28.357430000000001</v>
      </c>
      <c r="L66" s="36">
        <f t="shared" si="3"/>
        <v>19.47625686813187</v>
      </c>
      <c r="N66" s="14">
        <f t="shared" si="4"/>
        <v>0</v>
      </c>
    </row>
    <row r="67" spans="1:14" x14ac:dyDescent="0.6">
      <c r="A67" t="s">
        <v>52</v>
      </c>
      <c r="D67" s="12">
        <v>0</v>
      </c>
      <c r="F67" s="34">
        <v>0</v>
      </c>
      <c r="H67" s="14">
        <f t="shared" si="5"/>
        <v>1.456</v>
      </c>
      <c r="J67" s="35">
        <f>SUMPRODUCT(F$60:F67,D$60:D67)</f>
        <v>28.357430000000001</v>
      </c>
      <c r="L67" s="36">
        <f t="shared" si="3"/>
        <v>19.47625686813187</v>
      </c>
      <c r="N67" s="14">
        <f t="shared" si="4"/>
        <v>0</v>
      </c>
    </row>
    <row r="68" spans="1:14" x14ac:dyDescent="0.6">
      <c r="A68" t="s">
        <v>53</v>
      </c>
      <c r="D68" s="12">
        <v>0</v>
      </c>
      <c r="F68" s="34">
        <v>0</v>
      </c>
      <c r="H68" s="14">
        <f t="shared" si="5"/>
        <v>1.456</v>
      </c>
      <c r="J68" s="35">
        <f>SUMPRODUCT(F$60:F68,D$60:D68)</f>
        <v>28.357430000000001</v>
      </c>
      <c r="L68" s="36">
        <f t="shared" si="3"/>
        <v>19.47625686813187</v>
      </c>
      <c r="N68" s="14">
        <f t="shared" si="4"/>
        <v>0</v>
      </c>
    </row>
    <row r="69" spans="1:14" ht="13.5" customHeight="1" thickBot="1" x14ac:dyDescent="0.75">
      <c r="A69" t="s">
        <v>54</v>
      </c>
      <c r="D69" s="12">
        <v>0</v>
      </c>
      <c r="F69" s="34">
        <v>0</v>
      </c>
      <c r="H69" s="14">
        <f t="shared" si="5"/>
        <v>1.456</v>
      </c>
      <c r="J69" s="35">
        <f>SUMPRODUCT(F$60:F69,D$60:D69)</f>
        <v>28.357430000000001</v>
      </c>
      <c r="L69" s="36">
        <f t="shared" si="3"/>
        <v>19.47625686813187</v>
      </c>
      <c r="N69" s="14">
        <f t="shared" si="4"/>
        <v>0</v>
      </c>
    </row>
    <row r="70" spans="1:14" x14ac:dyDescent="0.6">
      <c r="G70" s="19"/>
      <c r="H70" s="19"/>
      <c r="I70" s="19"/>
      <c r="J70" s="19"/>
      <c r="K70" s="19"/>
      <c r="L70" s="37" t="s">
        <v>55</v>
      </c>
      <c r="M70" s="19"/>
      <c r="N70" s="38">
        <f>SUM(N60:N69)</f>
        <v>9.9206088992974312E-2</v>
      </c>
    </row>
  </sheetData>
  <phoneticPr fontId="12" type="noConversion"/>
  <conditionalFormatting sqref="N32 L32 H32:J32 T31 T16">
    <cfRule type="cellIs" dxfId="2" priority="1" stopIfTrue="1" operator="greaterThan">
      <formula>1</formula>
    </cfRule>
    <cfRule type="cellIs" dxfId="1" priority="2" stopIfTrue="1" operator="between">
      <formula>0.00001</formula>
      <formula>0.99999</formula>
    </cfRule>
    <cfRule type="cellIs" dxfId="0" priority="3" stopIfTrue="1" operator="lessThan">
      <formula>0</formula>
    </cfRule>
  </conditionalFormatting>
  <dataValidations count="5">
    <dataValidation type="whole" allowBlank="1" showInputMessage="1" showErrorMessage="1" errorTitle="ERROR" error="Please enter an integer between 1 and 7." prompt="Please enter an integer between 1 and 7." sqref="T10">
      <formula1>1</formula1>
      <formula2>7</formula2>
    </dataValidation>
    <dataValidation type="whole" allowBlank="1" showInputMessage="1" showErrorMessage="1" sqref="T14:T15">
      <formula1>0</formula1>
      <formula2>1</formula2>
    </dataValidation>
    <dataValidation type="whole" allowBlank="1" showInputMessage="1" showErrorMessage="1" errorTitle="ERROR" error="Enter either 0 or 1." prompt="Enter either 0 or 1." sqref="T31 T16">
      <formula1>0</formula1>
      <formula2>1</formula2>
    </dataValidation>
    <dataValidation type="list" allowBlank="1" showInputMessage="1" showErrorMessage="1" sqref="T43">
      <formula1>"FY,CY"</formula1>
    </dataValidation>
    <dataValidation type="list" allowBlank="1" showInputMessage="1" showErrorMessage="1" sqref="T44">
      <formula1>"Cash,GAAP"</formula1>
    </dataValidation>
  </dataValidations>
  <pageMargins left="0.75" right="0.75" top="1" bottom="1" header="0.5" footer="0.5"/>
  <pageSetup orientation="portrait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66"/>
  <sheetViews>
    <sheetView showGridLines="0" zoomScale="90" workbookViewId="0">
      <selection activeCell="M4" sqref="M4"/>
    </sheetView>
  </sheetViews>
  <sheetFormatPr defaultRowHeight="13" x14ac:dyDescent="0.6"/>
  <cols>
    <col min="1" max="1" width="0.86328125" customWidth="1"/>
    <col min="2" max="3" width="1.7265625" customWidth="1"/>
    <col min="4" max="7" width="9.7265625" customWidth="1"/>
    <col min="8" max="8" width="1.7265625" customWidth="1"/>
    <col min="9" max="9" width="9.7265625" customWidth="1"/>
    <col min="10" max="10" width="1.7265625" customWidth="1"/>
    <col min="11" max="11" width="9.7265625" customWidth="1"/>
    <col min="12" max="12" width="1.7265625" customWidth="1"/>
    <col min="13" max="13" width="9.7265625" customWidth="1"/>
    <col min="14" max="14" width="1.7265625" customWidth="1"/>
    <col min="15" max="15" width="9.7265625" customWidth="1"/>
    <col min="16" max="16" width="1.7265625" customWidth="1"/>
    <col min="17" max="17" width="9.7265625" customWidth="1"/>
    <col min="18" max="18" width="1.7265625" customWidth="1"/>
    <col min="19" max="19" width="9.7265625" customWidth="1"/>
    <col min="20" max="20" width="1.7265625" customWidth="1"/>
    <col min="21" max="21" width="9.7265625" customWidth="1"/>
    <col min="22" max="23" width="0.86328125" customWidth="1"/>
    <col min="24" max="24" width="10.7265625" customWidth="1"/>
  </cols>
  <sheetData>
    <row r="1" spans="1:24" ht="24" customHeight="1" thickBot="1" x14ac:dyDescent="1.1000000000000001">
      <c r="A1" s="1" t="str">
        <f>acq&amp;" Income Statement"</f>
        <v>BuyerCo Income Statement</v>
      </c>
      <c r="B1" s="55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6">
      <c r="A2" s="3" t="s">
        <v>1</v>
      </c>
      <c r="B2" s="56"/>
      <c r="M2" s="91"/>
      <c r="N2" s="91"/>
      <c r="O2" s="91"/>
      <c r="P2" s="91"/>
      <c r="Q2" s="91"/>
      <c r="R2" s="75"/>
      <c r="S2" s="91"/>
      <c r="T2" s="91"/>
      <c r="U2" s="91"/>
    </row>
    <row r="3" spans="1:24" ht="12.75" customHeight="1" x14ac:dyDescent="0.6">
      <c r="M3" s="75"/>
      <c r="N3" s="75"/>
      <c r="O3" s="75"/>
      <c r="P3" s="75"/>
      <c r="Q3" s="75"/>
      <c r="R3" s="75"/>
      <c r="S3" s="75"/>
      <c r="T3" s="75"/>
      <c r="U3" s="75"/>
      <c r="V3" s="75"/>
    </row>
    <row r="4" spans="1:24" ht="13.5" customHeight="1" thickBot="1" x14ac:dyDescent="0.75">
      <c r="G4" s="7" t="str">
        <f>year&amp;" Ended "&amp;IF(year="FY",TEXT(acq_fye,"mmmm d"),"December 31")&amp;","</f>
        <v>FY Ended September 30,</v>
      </c>
      <c r="H4" s="7"/>
      <c r="I4" s="7"/>
      <c r="J4" s="7"/>
      <c r="K4" s="7"/>
      <c r="L4" s="92"/>
      <c r="M4" s="7" t="str">
        <f>year&amp;" Ending "&amp;IF(year="FY",TEXT(acq_fye,"mmmm d"),"December 31")&amp;","</f>
        <v>FY Ending September 30,</v>
      </c>
      <c r="N4" s="32"/>
      <c r="O4" s="32"/>
      <c r="P4" s="32"/>
      <c r="Q4" s="32"/>
      <c r="R4" s="7"/>
      <c r="S4" s="32"/>
      <c r="T4" s="32"/>
      <c r="U4" s="32"/>
      <c r="X4" s="99" t="s">
        <v>116</v>
      </c>
    </row>
    <row r="5" spans="1:24" ht="13.5" customHeight="1" thickBot="1" x14ac:dyDescent="0.75">
      <c r="G5" s="57">
        <f>I5-1</f>
        <v>2005</v>
      </c>
      <c r="I5" s="57">
        <f>K5-1</f>
        <v>2006</v>
      </c>
      <c r="K5" s="58">
        <f>VALUE(TEXT(acq_fye,"yyyy"))</f>
        <v>2007</v>
      </c>
      <c r="L5" s="93"/>
      <c r="M5" s="94">
        <f>K5+1</f>
        <v>2008</v>
      </c>
      <c r="O5" s="94">
        <f>M5+1</f>
        <v>2009</v>
      </c>
      <c r="Q5" s="94">
        <f>O5+1</f>
        <v>2010</v>
      </c>
      <c r="R5" s="100"/>
      <c r="S5" s="101">
        <f>Q5+1</f>
        <v>2011</v>
      </c>
      <c r="U5" s="101">
        <f>S5+1</f>
        <v>2012</v>
      </c>
      <c r="X5" s="102" t="str">
        <f>M5&amp;"-"&amp;U5</f>
        <v>2008-2012</v>
      </c>
    </row>
    <row r="6" spans="1:24" ht="5.15" customHeight="1" x14ac:dyDescent="0.6"/>
    <row r="7" spans="1:24" s="59" customFormat="1" ht="12.75" customHeight="1" x14ac:dyDescent="0.6">
      <c r="B7" s="59" t="s">
        <v>87</v>
      </c>
      <c r="G7" s="60">
        <v>2038.6</v>
      </c>
      <c r="I7" s="60">
        <v>2480.1</v>
      </c>
      <c r="K7" s="60">
        <v>2836.2</v>
      </c>
      <c r="L7" s="60"/>
      <c r="M7" s="60">
        <v>3120</v>
      </c>
      <c r="O7" s="60">
        <v>3470</v>
      </c>
      <c r="Q7" s="60">
        <v>3856</v>
      </c>
      <c r="R7" s="60"/>
      <c r="S7" s="84">
        <f>Q7*(1+S8)</f>
        <v>4284.9383285302592</v>
      </c>
      <c r="U7" s="84">
        <f>S7*(1+U8)</f>
        <v>4761.5914106088412</v>
      </c>
      <c r="X7" s="62">
        <f>(U7/M7)^(1/(U$5-$M$5))-1</f>
        <v>0.11147419205253906</v>
      </c>
    </row>
    <row r="8" spans="1:24" s="56" customFormat="1" ht="12.75" customHeight="1" x14ac:dyDescent="0.6">
      <c r="C8" s="56" t="s">
        <v>88</v>
      </c>
      <c r="G8" s="61" t="s">
        <v>25</v>
      </c>
      <c r="I8" s="62">
        <f>I7/G7-1</f>
        <v>0.21657019523202203</v>
      </c>
      <c r="K8" s="62">
        <f>K7/I7-1</f>
        <v>0.14358292004354656</v>
      </c>
      <c r="L8" s="62"/>
      <c r="M8" s="62">
        <f>M7/K7-1</f>
        <v>0.10006346519991549</v>
      </c>
      <c r="N8" s="3"/>
      <c r="O8" s="62">
        <f>O7/M7-1</f>
        <v>0.11217948717948723</v>
      </c>
      <c r="P8" s="3"/>
      <c r="Q8" s="62">
        <f>Q7/O7-1</f>
        <v>0.11123919308357344</v>
      </c>
      <c r="R8" s="62"/>
      <c r="S8" s="62">
        <f>Q8</f>
        <v>0.11123919308357344</v>
      </c>
      <c r="T8" s="3"/>
      <c r="U8" s="62">
        <f>S8</f>
        <v>0.11123919308357344</v>
      </c>
      <c r="X8" s="3"/>
    </row>
    <row r="9" spans="1:24" ht="5.15" customHeight="1" x14ac:dyDescent="0.6"/>
    <row r="10" spans="1:24" s="63" customFormat="1" x14ac:dyDescent="0.6">
      <c r="B10" s="63" t="s">
        <v>89</v>
      </c>
      <c r="G10" s="17">
        <v>1295.5999999999999</v>
      </c>
      <c r="I10" s="17">
        <v>1565.8</v>
      </c>
      <c r="K10" s="17">
        <v>1771</v>
      </c>
      <c r="L10" s="17"/>
      <c r="M10" s="17">
        <v>1945.5</v>
      </c>
      <c r="O10" s="17">
        <v>2113.5</v>
      </c>
      <c r="Q10" s="17">
        <v>2347.8000000000002</v>
      </c>
      <c r="R10" s="17"/>
      <c r="S10" s="88">
        <f>S11*S7</f>
        <v>2608.9673775216138</v>
      </c>
      <c r="U10" s="88">
        <f>U11*U7</f>
        <v>2899.1868033784849</v>
      </c>
    </row>
    <row r="11" spans="1:24" s="56" customFormat="1" ht="12.75" customHeight="1" thickBot="1" x14ac:dyDescent="0.75">
      <c r="C11" s="56" t="s">
        <v>90</v>
      </c>
      <c r="G11" s="64">
        <f>G10/G7</f>
        <v>0.63553419013048174</v>
      </c>
      <c r="I11" s="64">
        <f>I10/I7</f>
        <v>0.63134551026168295</v>
      </c>
      <c r="K11" s="64">
        <f>K10/K7</f>
        <v>0.62442705027854173</v>
      </c>
      <c r="L11" s="64"/>
      <c r="M11" s="64">
        <f>M10/M7</f>
        <v>0.62355769230769231</v>
      </c>
      <c r="N11" s="3"/>
      <c r="O11" s="64">
        <f>O10/O7</f>
        <v>0.60907780979827086</v>
      </c>
      <c r="P11" s="3"/>
      <c r="Q11" s="64">
        <f>Q10/Q7</f>
        <v>0.60886929460580919</v>
      </c>
      <c r="R11" s="64"/>
      <c r="S11" s="64">
        <f>Q11</f>
        <v>0.60886929460580919</v>
      </c>
      <c r="T11" s="3"/>
      <c r="U11" s="64">
        <f>S11</f>
        <v>0.60886929460580919</v>
      </c>
      <c r="X11" s="3"/>
    </row>
    <row r="12" spans="1:24" x14ac:dyDescent="0.6">
      <c r="B12" t="s">
        <v>91</v>
      </c>
      <c r="G12" s="65">
        <f>G7-G10</f>
        <v>743</v>
      </c>
      <c r="I12" s="65">
        <f>I7-I10</f>
        <v>914.3</v>
      </c>
      <c r="K12" s="65">
        <f>K7-K10</f>
        <v>1065.1999999999998</v>
      </c>
      <c r="L12" s="95"/>
      <c r="M12" s="65">
        <f>M7-M10</f>
        <v>1174.5</v>
      </c>
      <c r="O12" s="65">
        <f>O7-O10</f>
        <v>1356.5</v>
      </c>
      <c r="Q12" s="65">
        <f>Q7-Q10</f>
        <v>1508.1999999999998</v>
      </c>
      <c r="R12" s="95"/>
      <c r="S12" s="65">
        <f>S7-S10</f>
        <v>1675.9709510086454</v>
      </c>
      <c r="U12" s="65">
        <f>U7-U10</f>
        <v>1862.4046072303563</v>
      </c>
      <c r="X12" s="62">
        <f>(U12/M12)^(1/(U$5-$M$5))-1</f>
        <v>0.12216121460743179</v>
      </c>
    </row>
    <row r="13" spans="1:24" s="56" customFormat="1" ht="12.75" customHeight="1" x14ac:dyDescent="0.6">
      <c r="C13" s="56" t="s">
        <v>92</v>
      </c>
      <c r="G13" s="64">
        <f>G12/G$7</f>
        <v>0.36446580986951832</v>
      </c>
      <c r="I13" s="64">
        <f>I12/I$7</f>
        <v>0.36865448973831699</v>
      </c>
      <c r="K13" s="64">
        <f>K12/K$7</f>
        <v>0.37557294972145827</v>
      </c>
      <c r="L13" s="64"/>
      <c r="M13" s="64">
        <f>M12/M$7</f>
        <v>0.37644230769230769</v>
      </c>
      <c r="N13" s="3"/>
      <c r="O13" s="64">
        <f>O12/O$7</f>
        <v>0.39092219020172908</v>
      </c>
      <c r="P13" s="3"/>
      <c r="Q13" s="64">
        <f>Q12/Q$7</f>
        <v>0.39113070539419081</v>
      </c>
      <c r="R13" s="64"/>
      <c r="S13" s="64">
        <f>S12/S$7</f>
        <v>0.39113070539419087</v>
      </c>
      <c r="T13" s="3"/>
      <c r="U13" s="64">
        <f>U12/U$7</f>
        <v>0.39113070539419087</v>
      </c>
      <c r="X13" s="3"/>
    </row>
    <row r="14" spans="1:24" ht="5.15" customHeight="1" x14ac:dyDescent="0.6"/>
    <row r="15" spans="1:24" s="63" customFormat="1" ht="12.75" customHeight="1" x14ac:dyDescent="0.6">
      <c r="B15" s="63" t="s">
        <v>93</v>
      </c>
      <c r="G15" s="17">
        <v>253.6</v>
      </c>
      <c r="I15" s="66">
        <v>392.3</v>
      </c>
      <c r="K15" s="17">
        <v>482.4</v>
      </c>
      <c r="L15" s="17"/>
      <c r="M15" s="17">
        <v>506.6</v>
      </c>
      <c r="O15" s="17">
        <v>622.29999999999995</v>
      </c>
      <c r="Q15" s="17">
        <v>675.5</v>
      </c>
      <c r="R15" s="17"/>
      <c r="S15" s="88">
        <f>S16*S7</f>
        <v>750.64207492795379</v>
      </c>
      <c r="U15" s="88">
        <f>U16*U7</f>
        <v>834.14289363751868</v>
      </c>
    </row>
    <row r="16" spans="1:24" s="56" customFormat="1" ht="12.75" customHeight="1" x14ac:dyDescent="0.6">
      <c r="C16" s="56" t="s">
        <v>90</v>
      </c>
      <c r="G16" s="64">
        <f>G15/G$7</f>
        <v>0.1243990974197979</v>
      </c>
      <c r="I16" s="64">
        <f>I15/I$7</f>
        <v>0.15817910568122254</v>
      </c>
      <c r="K16" s="64">
        <f>K15/K$7</f>
        <v>0.1700867357732177</v>
      </c>
      <c r="L16" s="64"/>
      <c r="M16" s="64">
        <f>M15/M$7</f>
        <v>0.16237179487179487</v>
      </c>
      <c r="N16" s="3"/>
      <c r="O16" s="64">
        <f>O15/O$7</f>
        <v>0.17933717579250719</v>
      </c>
      <c r="P16" s="3"/>
      <c r="Q16" s="64">
        <f>Q15/Q$7</f>
        <v>0.17518153526970953</v>
      </c>
      <c r="R16" s="64"/>
      <c r="S16" s="64">
        <f>Q16</f>
        <v>0.17518153526970953</v>
      </c>
      <c r="T16" s="3"/>
      <c r="U16" s="64">
        <f>S16</f>
        <v>0.17518153526970953</v>
      </c>
      <c r="X16" s="3"/>
    </row>
    <row r="17" spans="1:24" ht="5.15" customHeight="1" x14ac:dyDescent="0.6"/>
    <row r="18" spans="1:24" ht="5.15" customHeight="1" x14ac:dyDescent="0.6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8"/>
    </row>
    <row r="19" spans="1:24" s="19" customFormat="1" ht="12.75" customHeight="1" x14ac:dyDescent="0.6">
      <c r="A19" s="69"/>
      <c r="B19" s="69" t="s">
        <v>94</v>
      </c>
      <c r="C19" s="69"/>
      <c r="D19" s="69"/>
      <c r="E19" s="69"/>
      <c r="F19" s="69"/>
      <c r="G19" s="70">
        <f>G12-G15</f>
        <v>489.4</v>
      </c>
      <c r="H19" s="69"/>
      <c r="I19" s="70">
        <f>I12-I15</f>
        <v>522</v>
      </c>
      <c r="J19" s="69"/>
      <c r="K19" s="70">
        <f>K12-K15</f>
        <v>582.79999999999984</v>
      </c>
      <c r="L19" s="70"/>
      <c r="M19" s="70">
        <f>M12-M15</f>
        <v>667.9</v>
      </c>
      <c r="N19" s="69"/>
      <c r="O19" s="70">
        <f>O12-O15</f>
        <v>734.2</v>
      </c>
      <c r="P19" s="69"/>
      <c r="Q19" s="70">
        <f>Q12-Q15</f>
        <v>832.69999999999982</v>
      </c>
      <c r="R19" s="70"/>
      <c r="S19" s="70">
        <f>S12-S15</f>
        <v>925.32887608069166</v>
      </c>
      <c r="T19" s="69"/>
      <c r="U19" s="70">
        <f>U12-U15</f>
        <v>1028.2617135928376</v>
      </c>
      <c r="V19" s="71"/>
      <c r="X19" s="62">
        <f>(U19/M19)^(1/(U$5-$M$5))-1</f>
        <v>0.11390474901506442</v>
      </c>
    </row>
    <row r="20" spans="1:24" s="56" customFormat="1" ht="12.75" customHeight="1" x14ac:dyDescent="0.6">
      <c r="A20" s="72"/>
      <c r="B20" s="72"/>
      <c r="C20" s="72" t="s">
        <v>92</v>
      </c>
      <c r="D20" s="72"/>
      <c r="E20" s="72"/>
      <c r="F20" s="72"/>
      <c r="G20" s="73">
        <f>G19/G$7</f>
        <v>0.24006671244972039</v>
      </c>
      <c r="H20" s="72"/>
      <c r="I20" s="73">
        <f>I19/I$7</f>
        <v>0.21047538405709448</v>
      </c>
      <c r="J20" s="72"/>
      <c r="K20" s="73">
        <f>K19/K$7</f>
        <v>0.20548621394824057</v>
      </c>
      <c r="L20" s="73"/>
      <c r="M20" s="73">
        <f>M19/M$7</f>
        <v>0.21407051282051281</v>
      </c>
      <c r="N20" s="96"/>
      <c r="O20" s="73">
        <f>O19/O$7</f>
        <v>0.21158501440922192</v>
      </c>
      <c r="P20" s="96"/>
      <c r="Q20" s="73">
        <f>Q19/Q$7</f>
        <v>0.21594917012448128</v>
      </c>
      <c r="R20" s="73"/>
      <c r="S20" s="73">
        <f>S19/S$7</f>
        <v>0.21594917012448134</v>
      </c>
      <c r="T20" s="96"/>
      <c r="U20" s="73">
        <f>U19/U$7</f>
        <v>0.21594917012448131</v>
      </c>
      <c r="V20" s="74"/>
      <c r="X20" s="3"/>
    </row>
    <row r="21" spans="1:24" ht="5.15" customHeight="1" x14ac:dyDescent="0.6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6"/>
    </row>
    <row r="22" spans="1:24" s="63" customFormat="1" ht="12.75" customHeight="1" x14ac:dyDescent="0.6">
      <c r="A22" s="77"/>
      <c r="B22" s="77" t="s">
        <v>95</v>
      </c>
      <c r="C22" s="77"/>
      <c r="D22" s="77"/>
      <c r="E22" s="77"/>
      <c r="F22" s="77"/>
      <c r="G22" s="66">
        <v>78.5</v>
      </c>
      <c r="H22" s="77"/>
      <c r="I22" s="78">
        <v>80.3</v>
      </c>
      <c r="J22" s="77"/>
      <c r="K22" s="78">
        <v>90</v>
      </c>
      <c r="L22" s="78"/>
      <c r="M22" s="78">
        <v>108.8</v>
      </c>
      <c r="N22" s="77"/>
      <c r="O22" s="78">
        <v>74.7</v>
      </c>
      <c r="P22" s="77"/>
      <c r="Q22" s="78">
        <v>85.4</v>
      </c>
      <c r="R22" s="78"/>
      <c r="S22" s="97">
        <f>S23*S7</f>
        <v>94.89982708933718</v>
      </c>
      <c r="T22" s="77"/>
      <c r="U22" s="97">
        <f>U23*U7</f>
        <v>105.45640727852569</v>
      </c>
      <c r="V22" s="79"/>
    </row>
    <row r="23" spans="1:24" s="56" customFormat="1" ht="12.75" customHeight="1" x14ac:dyDescent="0.6">
      <c r="A23" s="72"/>
      <c r="B23" s="72"/>
      <c r="C23" s="72" t="s">
        <v>90</v>
      </c>
      <c r="D23" s="72"/>
      <c r="E23" s="72"/>
      <c r="F23" s="72"/>
      <c r="G23" s="73">
        <f>G22/G$7</f>
        <v>3.8506818404787604E-2</v>
      </c>
      <c r="H23" s="72"/>
      <c r="I23" s="73">
        <f>I22/I$7</f>
        <v>3.2377726704568364E-2</v>
      </c>
      <c r="J23" s="72"/>
      <c r="K23" s="73">
        <f>K22/K$7</f>
        <v>3.1732599957689872E-2</v>
      </c>
      <c r="L23" s="73"/>
      <c r="M23" s="73">
        <f>M22/M$7</f>
        <v>3.487179487179487E-2</v>
      </c>
      <c r="N23" s="96"/>
      <c r="O23" s="73">
        <f>O22/O$7</f>
        <v>2.1527377521613832E-2</v>
      </c>
      <c r="P23" s="96"/>
      <c r="Q23" s="73">
        <f>Q22/Q$7</f>
        <v>2.2147302904564316E-2</v>
      </c>
      <c r="R23" s="73"/>
      <c r="S23" s="73">
        <f>Q23</f>
        <v>2.2147302904564316E-2</v>
      </c>
      <c r="T23" s="96"/>
      <c r="U23" s="73">
        <f>S23</f>
        <v>2.2147302904564316E-2</v>
      </c>
      <c r="V23" s="74"/>
      <c r="X23" s="3"/>
    </row>
    <row r="24" spans="1:24" s="63" customFormat="1" ht="12.75" customHeight="1" x14ac:dyDescent="0.6">
      <c r="A24" s="77"/>
      <c r="B24" s="77" t="s">
        <v>96</v>
      </c>
      <c r="C24" s="77"/>
      <c r="D24" s="77"/>
      <c r="E24" s="77"/>
      <c r="F24" s="77"/>
      <c r="G24" s="66">
        <v>15.4</v>
      </c>
      <c r="H24" s="77"/>
      <c r="I24" s="78">
        <v>37.6</v>
      </c>
      <c r="J24" s="77"/>
      <c r="K24" s="78">
        <v>75</v>
      </c>
      <c r="L24" s="78"/>
      <c r="M24" s="78">
        <v>61.8</v>
      </c>
      <c r="N24" s="77"/>
      <c r="O24" s="78">
        <v>62</v>
      </c>
      <c r="P24" s="77"/>
      <c r="Q24" s="78">
        <v>62</v>
      </c>
      <c r="R24" s="78"/>
      <c r="S24" s="97">
        <f>Q24</f>
        <v>62</v>
      </c>
      <c r="T24" s="77"/>
      <c r="U24" s="97">
        <f>S24</f>
        <v>62</v>
      </c>
      <c r="V24" s="79"/>
    </row>
    <row r="25" spans="1:24" s="56" customFormat="1" ht="12.75" customHeight="1" thickBot="1" x14ac:dyDescent="0.75">
      <c r="A25" s="72"/>
      <c r="B25" s="72"/>
      <c r="C25" s="72" t="s">
        <v>90</v>
      </c>
      <c r="D25" s="72"/>
      <c r="E25" s="72"/>
      <c r="F25" s="72"/>
      <c r="G25" s="73">
        <f>G24/G$7</f>
        <v>7.5542038653978226E-3</v>
      </c>
      <c r="H25" s="72"/>
      <c r="I25" s="73">
        <f>I24/I$7</f>
        <v>1.5160679004878837E-2</v>
      </c>
      <c r="J25" s="72"/>
      <c r="K25" s="73">
        <f>K24/K$7</f>
        <v>2.6443833298074891E-2</v>
      </c>
      <c r="L25" s="73"/>
      <c r="M25" s="73">
        <f>M24/M$7</f>
        <v>1.9807692307692307E-2</v>
      </c>
      <c r="N25" s="96"/>
      <c r="O25" s="73">
        <f>O24/O$7</f>
        <v>1.7867435158501442E-2</v>
      </c>
      <c r="P25" s="96"/>
      <c r="Q25" s="73">
        <f>Q24/Q$7</f>
        <v>1.6078838174273857E-2</v>
      </c>
      <c r="R25" s="73"/>
      <c r="S25" s="73">
        <f>S24/S$7</f>
        <v>1.4469286427575284E-2</v>
      </c>
      <c r="T25" s="96"/>
      <c r="U25" s="73">
        <f>U24/U$7</f>
        <v>1.3020856821495393E-2</v>
      </c>
      <c r="V25" s="74"/>
      <c r="X25" s="3"/>
    </row>
    <row r="26" spans="1:24" x14ac:dyDescent="0.6">
      <c r="A26" s="75"/>
      <c r="B26" s="75" t="s">
        <v>97</v>
      </c>
      <c r="C26" s="75"/>
      <c r="D26" s="75"/>
      <c r="E26" s="75"/>
      <c r="F26" s="75"/>
      <c r="G26" s="90">
        <f>G24+G22</f>
        <v>93.9</v>
      </c>
      <c r="H26" s="75"/>
      <c r="I26" s="90">
        <f>I24+I22</f>
        <v>117.9</v>
      </c>
      <c r="J26" s="75"/>
      <c r="K26" s="90">
        <f>K24+K22</f>
        <v>165</v>
      </c>
      <c r="L26" s="97"/>
      <c r="M26" s="90">
        <f>M24+M22</f>
        <v>170.6</v>
      </c>
      <c r="N26" s="75"/>
      <c r="O26" s="90">
        <f>O24+O22</f>
        <v>136.69999999999999</v>
      </c>
      <c r="P26" s="75"/>
      <c r="Q26" s="90">
        <f>Q24+Q22</f>
        <v>147.4</v>
      </c>
      <c r="R26" s="97"/>
      <c r="S26" s="90">
        <f>S24+S22</f>
        <v>156.89982708933718</v>
      </c>
      <c r="T26" s="75"/>
      <c r="U26" s="90">
        <f>U24+U22</f>
        <v>167.45640727852569</v>
      </c>
      <c r="V26" s="76"/>
    </row>
    <row r="27" spans="1:24" s="56" customFormat="1" ht="12.75" customHeight="1" x14ac:dyDescent="0.6">
      <c r="A27" s="72"/>
      <c r="B27" s="72"/>
      <c r="C27" s="72" t="s">
        <v>90</v>
      </c>
      <c r="D27" s="72"/>
      <c r="E27" s="72"/>
      <c r="F27" s="72"/>
      <c r="G27" s="73">
        <f>G26/G$7</f>
        <v>4.606102227018543E-2</v>
      </c>
      <c r="H27" s="72"/>
      <c r="I27" s="73">
        <f>I26/I$7</f>
        <v>4.7538405709447201E-2</v>
      </c>
      <c r="J27" s="72"/>
      <c r="K27" s="73">
        <f>K26/K$7</f>
        <v>5.8176433255764756E-2</v>
      </c>
      <c r="L27" s="73"/>
      <c r="M27" s="73">
        <f>M26/M$7</f>
        <v>5.4679487179487181E-2</v>
      </c>
      <c r="N27" s="96"/>
      <c r="O27" s="73">
        <f>O26/O$7</f>
        <v>3.9394812680115271E-2</v>
      </c>
      <c r="P27" s="96"/>
      <c r="Q27" s="73">
        <f>Q26/Q$7</f>
        <v>3.8226141078838177E-2</v>
      </c>
      <c r="R27" s="73"/>
      <c r="S27" s="73">
        <f>S26/S$7</f>
        <v>3.6616589332139599E-2</v>
      </c>
      <c r="T27" s="96"/>
      <c r="U27" s="73">
        <f>U26/U$7</f>
        <v>3.516815972605971E-2</v>
      </c>
      <c r="V27" s="74"/>
      <c r="X27" s="3"/>
    </row>
    <row r="28" spans="1:24" ht="5.15" customHeight="1" x14ac:dyDescent="0.6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6"/>
    </row>
    <row r="29" spans="1:24" s="63" customFormat="1" x14ac:dyDescent="0.6">
      <c r="A29" s="77"/>
      <c r="B29" s="77" t="s">
        <v>98</v>
      </c>
      <c r="C29" s="77"/>
      <c r="D29" s="77"/>
      <c r="E29" s="77"/>
      <c r="F29" s="77"/>
      <c r="G29" s="78">
        <v>44.5</v>
      </c>
      <c r="H29" s="77"/>
      <c r="I29" s="78">
        <v>46.2</v>
      </c>
      <c r="J29" s="77"/>
      <c r="K29" s="78">
        <v>53.6</v>
      </c>
      <c r="L29" s="78"/>
      <c r="M29" s="78">
        <v>54.5</v>
      </c>
      <c r="N29" s="77"/>
      <c r="O29" s="78">
        <v>53.7</v>
      </c>
      <c r="P29" s="77"/>
      <c r="Q29" s="78">
        <v>59.6</v>
      </c>
      <c r="R29" s="78"/>
      <c r="S29" s="97">
        <f>S30*S7</f>
        <v>66.229855907780987</v>
      </c>
      <c r="T29" s="77"/>
      <c r="U29" s="97">
        <f>U30*U7</f>
        <v>73.59721163700388</v>
      </c>
      <c r="V29" s="79"/>
    </row>
    <row r="30" spans="1:24" s="56" customFormat="1" ht="12.75" customHeight="1" x14ac:dyDescent="0.6">
      <c r="A30" s="72"/>
      <c r="B30" s="72"/>
      <c r="C30" s="72" t="s">
        <v>90</v>
      </c>
      <c r="D30" s="72"/>
      <c r="E30" s="72"/>
      <c r="F30" s="72"/>
      <c r="G30" s="73">
        <f>G29/G$7</f>
        <v>2.1828705974688514E-2</v>
      </c>
      <c r="H30" s="72"/>
      <c r="I30" s="73">
        <f>I29/I$7</f>
        <v>1.862828111769687E-2</v>
      </c>
      <c r="J30" s="72"/>
      <c r="K30" s="73">
        <f>K29/K$7</f>
        <v>1.8898526197024187E-2</v>
      </c>
      <c r="L30" s="73"/>
      <c r="M30" s="73">
        <f>M29/M$7</f>
        <v>1.7467948717948718E-2</v>
      </c>
      <c r="N30" s="96"/>
      <c r="O30" s="73">
        <f>O29/O$7</f>
        <v>1.5475504322766571E-2</v>
      </c>
      <c r="P30" s="96"/>
      <c r="Q30" s="73">
        <f>Q29/Q$7</f>
        <v>1.545643153526971E-2</v>
      </c>
      <c r="R30" s="73"/>
      <c r="S30" s="73">
        <f>Q30</f>
        <v>1.545643153526971E-2</v>
      </c>
      <c r="T30" s="96"/>
      <c r="U30" s="73">
        <f>S30</f>
        <v>1.545643153526971E-2</v>
      </c>
      <c r="V30" s="74"/>
      <c r="X30" s="3"/>
    </row>
    <row r="31" spans="1:24" ht="5.15" customHeight="1" x14ac:dyDescent="0.6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6"/>
    </row>
    <row r="32" spans="1:24" s="19" customFormat="1" ht="12.75" customHeight="1" x14ac:dyDescent="0.6">
      <c r="A32" s="69"/>
      <c r="B32" s="69" t="s">
        <v>99</v>
      </c>
      <c r="C32" s="69"/>
      <c r="D32" s="69"/>
      <c r="E32" s="69"/>
      <c r="F32" s="69"/>
      <c r="G32" s="70">
        <f>G19-G26-G29</f>
        <v>351</v>
      </c>
      <c r="H32" s="69"/>
      <c r="I32" s="70">
        <f>I19-I26-I29</f>
        <v>357.90000000000003</v>
      </c>
      <c r="J32" s="69"/>
      <c r="K32" s="70">
        <f>K19-K26-K29</f>
        <v>364.19999999999982</v>
      </c>
      <c r="L32" s="70"/>
      <c r="M32" s="70">
        <f>M19-M26-M29</f>
        <v>442.79999999999995</v>
      </c>
      <c r="N32" s="69"/>
      <c r="O32" s="70">
        <f>O19-O26-O29</f>
        <v>543.79999999999995</v>
      </c>
      <c r="P32" s="69"/>
      <c r="Q32" s="70">
        <f>Q19-Q26-Q29</f>
        <v>625.69999999999982</v>
      </c>
      <c r="R32" s="70"/>
      <c r="S32" s="70">
        <f>S19-S26-S29</f>
        <v>702.19919308357339</v>
      </c>
      <c r="T32" s="69"/>
      <c r="U32" s="70">
        <f>U19-U26-U29</f>
        <v>787.20809467730805</v>
      </c>
      <c r="V32" s="71"/>
      <c r="X32" s="62">
        <f>(U32/M32)^(1/(U$5-$M$5))-1</f>
        <v>0.15470350677743605</v>
      </c>
    </row>
    <row r="33" spans="1:24" s="56" customFormat="1" ht="12.75" customHeight="1" x14ac:dyDescent="0.6">
      <c r="A33" s="72"/>
      <c r="B33" s="72"/>
      <c r="C33" s="72" t="s">
        <v>92</v>
      </c>
      <c r="D33" s="72"/>
      <c r="E33" s="72"/>
      <c r="F33" s="72"/>
      <c r="G33" s="73">
        <f>G32/G$7</f>
        <v>0.17217698420484648</v>
      </c>
      <c r="H33" s="72"/>
      <c r="I33" s="73">
        <f>I32/I$7</f>
        <v>0.14430869722995043</v>
      </c>
      <c r="J33" s="72"/>
      <c r="K33" s="73">
        <f>K32/K$7</f>
        <v>0.1284112544954516</v>
      </c>
      <c r="L33" s="73"/>
      <c r="M33" s="73">
        <f>M32/M$7</f>
        <v>0.1419230769230769</v>
      </c>
      <c r="N33" s="96"/>
      <c r="O33" s="73">
        <f>O32/O$7</f>
        <v>0.15671469740634003</v>
      </c>
      <c r="P33" s="96"/>
      <c r="Q33" s="73">
        <f>Q32/Q$7</f>
        <v>0.16226659751037339</v>
      </c>
      <c r="R33" s="73"/>
      <c r="S33" s="73">
        <f>S32/S$7</f>
        <v>0.163876149257072</v>
      </c>
      <c r="T33" s="96"/>
      <c r="U33" s="73">
        <f>U32/U$7</f>
        <v>0.16532457886315188</v>
      </c>
      <c r="V33" s="74"/>
      <c r="X33" s="3"/>
    </row>
    <row r="34" spans="1:24" ht="5.15" customHeight="1" x14ac:dyDescent="0.6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6"/>
    </row>
    <row r="35" spans="1:24" s="19" customFormat="1" x14ac:dyDescent="0.6">
      <c r="A35" s="69"/>
      <c r="B35" s="69" t="s">
        <v>100</v>
      </c>
      <c r="C35" s="69"/>
      <c r="D35" s="69"/>
      <c r="E35" s="69"/>
      <c r="F35" s="69"/>
      <c r="G35" s="70">
        <f>G32+G24+G29</f>
        <v>410.9</v>
      </c>
      <c r="H35" s="69"/>
      <c r="I35" s="70">
        <f>I32+I24+I29</f>
        <v>441.70000000000005</v>
      </c>
      <c r="J35" s="69"/>
      <c r="K35" s="70">
        <f>K32+K24+K29</f>
        <v>492.79999999999984</v>
      </c>
      <c r="L35" s="70"/>
      <c r="M35" s="70">
        <f>M32+M24+M29</f>
        <v>559.09999999999991</v>
      </c>
      <c r="N35" s="69"/>
      <c r="O35" s="70">
        <f>O32+O24+O29</f>
        <v>659.5</v>
      </c>
      <c r="P35" s="69"/>
      <c r="Q35" s="70">
        <f>Q32+Q24+Q29</f>
        <v>747.29999999999984</v>
      </c>
      <c r="R35" s="70"/>
      <c r="S35" s="70">
        <f>S32+S24+S29</f>
        <v>830.42904899135442</v>
      </c>
      <c r="T35" s="69"/>
      <c r="U35" s="70">
        <f>U32+U24+U29</f>
        <v>922.80530631431191</v>
      </c>
      <c r="V35" s="71"/>
      <c r="X35" s="62">
        <f>(U35/M35)^(1/(U$5-$M$5))-1</f>
        <v>0.13345725783033746</v>
      </c>
    </row>
    <row r="36" spans="1:24" s="56" customFormat="1" ht="12.75" customHeight="1" x14ac:dyDescent="0.6">
      <c r="A36" s="72"/>
      <c r="B36" s="72"/>
      <c r="C36" s="72" t="s">
        <v>92</v>
      </c>
      <c r="D36" s="72"/>
      <c r="E36" s="72"/>
      <c r="F36" s="72"/>
      <c r="G36" s="73">
        <f>G35/G$7</f>
        <v>0.2015598940449328</v>
      </c>
      <c r="H36" s="72"/>
      <c r="I36" s="73">
        <f>I35/I$7</f>
        <v>0.17809765735252614</v>
      </c>
      <c r="J36" s="72"/>
      <c r="K36" s="73">
        <f>K35/K$7</f>
        <v>0.1737536139905507</v>
      </c>
      <c r="L36" s="73"/>
      <c r="M36" s="73">
        <f>M35/M$7</f>
        <v>0.17919871794871792</v>
      </c>
      <c r="N36" s="96"/>
      <c r="O36" s="73">
        <f>O35/O$7</f>
        <v>0.19005763688760807</v>
      </c>
      <c r="P36" s="96"/>
      <c r="Q36" s="73">
        <f>Q35/Q$7</f>
        <v>0.19380186721991696</v>
      </c>
      <c r="R36" s="73"/>
      <c r="S36" s="73">
        <f>S35/S$7</f>
        <v>0.19380186721991702</v>
      </c>
      <c r="T36" s="96"/>
      <c r="U36" s="73">
        <f>U35/U$7</f>
        <v>0.19380186721991699</v>
      </c>
      <c r="V36" s="74"/>
      <c r="X36" s="3"/>
    </row>
    <row r="37" spans="1:24" ht="5.15" customHeight="1" x14ac:dyDescent="0.6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1"/>
    </row>
    <row r="38" spans="1:24" ht="5.15" customHeight="1" x14ac:dyDescent="0.6">
      <c r="C38" s="82"/>
    </row>
    <row r="39" spans="1:24" s="63" customFormat="1" x14ac:dyDescent="0.6">
      <c r="B39" s="63" t="s">
        <v>101</v>
      </c>
      <c r="G39" s="17">
        <v>-26.6</v>
      </c>
      <c r="I39" s="17">
        <v>-45.5</v>
      </c>
      <c r="K39" s="17">
        <v>-42.6</v>
      </c>
      <c r="L39" s="17"/>
      <c r="M39" s="17">
        <v>-36.799999999999997</v>
      </c>
      <c r="O39" s="17">
        <v>-44.3</v>
      </c>
      <c r="Q39" s="17">
        <v>-52.3</v>
      </c>
      <c r="R39" s="17"/>
      <c r="S39" s="88">
        <f>Q39</f>
        <v>-52.3</v>
      </c>
      <c r="U39" s="88">
        <f>S39</f>
        <v>-52.3</v>
      </c>
    </row>
    <row r="40" spans="1:24" x14ac:dyDescent="0.6">
      <c r="B40" t="s">
        <v>102</v>
      </c>
      <c r="G40" s="83">
        <v>0</v>
      </c>
      <c r="I40" s="83">
        <v>0</v>
      </c>
      <c r="K40" s="83">
        <v>0</v>
      </c>
      <c r="L40" s="83"/>
      <c r="M40" s="83">
        <v>0</v>
      </c>
      <c r="O40" s="83">
        <v>0</v>
      </c>
      <c r="Q40" s="83">
        <v>0</v>
      </c>
      <c r="R40" s="83"/>
      <c r="S40" s="103">
        <f>Q40</f>
        <v>0</v>
      </c>
      <c r="T40" s="98"/>
      <c r="U40" s="103">
        <f>S40</f>
        <v>0</v>
      </c>
    </row>
    <row r="41" spans="1:24" x14ac:dyDescent="0.6">
      <c r="B41" t="s">
        <v>103</v>
      </c>
      <c r="G41" s="83">
        <v>0</v>
      </c>
      <c r="I41" s="83">
        <v>0</v>
      </c>
      <c r="K41" s="83">
        <v>0</v>
      </c>
      <c r="L41" s="83"/>
      <c r="M41" s="83">
        <v>0</v>
      </c>
      <c r="O41" s="83">
        <v>0</v>
      </c>
      <c r="Q41" s="83">
        <v>0</v>
      </c>
      <c r="R41" s="83"/>
      <c r="S41" s="103">
        <f>Q41</f>
        <v>0</v>
      </c>
      <c r="T41" s="98"/>
      <c r="U41" s="103">
        <f>S41</f>
        <v>0</v>
      </c>
    </row>
    <row r="42" spans="1:24" s="63" customFormat="1" ht="13.5" customHeight="1" thickBot="1" x14ac:dyDescent="0.75">
      <c r="B42" s="63" t="s">
        <v>104</v>
      </c>
      <c r="G42" s="17">
        <v>4.3</v>
      </c>
      <c r="I42" s="17">
        <v>3.8</v>
      </c>
      <c r="K42" s="17">
        <v>-8</v>
      </c>
      <c r="L42" s="17"/>
      <c r="M42" s="83">
        <v>0</v>
      </c>
      <c r="N42" s="98"/>
      <c r="O42" s="83">
        <v>0</v>
      </c>
      <c r="P42" s="98"/>
      <c r="Q42" s="83">
        <v>0</v>
      </c>
      <c r="R42" s="83"/>
      <c r="S42" s="103">
        <f>Q42</f>
        <v>0</v>
      </c>
      <c r="T42" s="104"/>
      <c r="U42" s="103">
        <f>S42</f>
        <v>0</v>
      </c>
    </row>
    <row r="43" spans="1:24" x14ac:dyDescent="0.6">
      <c r="B43" t="s">
        <v>105</v>
      </c>
      <c r="G43" s="65">
        <f>G35-SUM(G39:G42)</f>
        <v>433.2</v>
      </c>
      <c r="I43" s="65">
        <f>I35-SUM(I39:I42)</f>
        <v>483.40000000000003</v>
      </c>
      <c r="K43" s="65">
        <f>K35-SUM(K39:K42)</f>
        <v>543.39999999999986</v>
      </c>
      <c r="L43" s="95"/>
      <c r="M43" s="65">
        <f>M35-SUM(M39:M42)</f>
        <v>595.89999999999986</v>
      </c>
      <c r="O43" s="65">
        <f>O35-SUM(O39:O42)</f>
        <v>703.8</v>
      </c>
      <c r="Q43" s="65">
        <f>Q35-SUM(Q39:Q42)</f>
        <v>799.5999999999998</v>
      </c>
      <c r="R43" s="95"/>
      <c r="S43" s="65">
        <f>S35-SUM(S39:S42)</f>
        <v>882.72904899135438</v>
      </c>
      <c r="U43" s="65">
        <f>U35-SUM(U39:U42)</f>
        <v>975.10530631431186</v>
      </c>
      <c r="X43" s="62">
        <f>(U43/M43)^(1/(U$5-$M$5))-1</f>
        <v>0.13101804393497218</v>
      </c>
    </row>
    <row r="44" spans="1:24" ht="5.15" customHeight="1" x14ac:dyDescent="0.6"/>
    <row r="45" spans="1:24" s="63" customFormat="1" x14ac:dyDescent="0.6">
      <c r="B45" s="63" t="s">
        <v>106</v>
      </c>
      <c r="G45" s="17">
        <v>85.8</v>
      </c>
      <c r="I45" s="17">
        <v>71.400000000000006</v>
      </c>
      <c r="K45" s="17">
        <v>57.3</v>
      </c>
      <c r="L45" s="17"/>
      <c r="M45" s="17">
        <v>79.599999999999994</v>
      </c>
      <c r="O45" s="17">
        <v>96.9</v>
      </c>
      <c r="Q45" s="17">
        <v>110.1</v>
      </c>
      <c r="R45" s="17"/>
      <c r="S45" s="88">
        <f>S46*S43</f>
        <v>121.54635854670853</v>
      </c>
      <c r="U45" s="88">
        <f>U46*U43</f>
        <v>134.26600078189816</v>
      </c>
      <c r="X45" s="105"/>
    </row>
    <row r="46" spans="1:24" s="56" customFormat="1" ht="12.75" customHeight="1" thickBot="1" x14ac:dyDescent="0.75">
      <c r="C46" s="56" t="s">
        <v>107</v>
      </c>
      <c r="G46" s="62">
        <f>G45/G43</f>
        <v>0.19806094182825484</v>
      </c>
      <c r="I46" s="62">
        <f>I45/I43</f>
        <v>0.14770376499793131</v>
      </c>
      <c r="K46" s="62">
        <f>K45/K43</f>
        <v>0.10544718439455283</v>
      </c>
      <c r="L46" s="62"/>
      <c r="M46" s="62">
        <f>M45/M43</f>
        <v>0.13357945964087936</v>
      </c>
      <c r="N46" s="3"/>
      <c r="O46" s="62">
        <f>O45/O43</f>
        <v>0.13768115942028988</v>
      </c>
      <c r="P46" s="3"/>
      <c r="Q46" s="62">
        <f>Q45/Q43</f>
        <v>0.13769384692346176</v>
      </c>
      <c r="R46" s="62"/>
      <c r="S46" s="62">
        <f>Q46</f>
        <v>0.13769384692346176</v>
      </c>
      <c r="T46" s="3"/>
      <c r="U46" s="62">
        <f>S46</f>
        <v>0.13769384692346176</v>
      </c>
      <c r="X46" s="63"/>
    </row>
    <row r="47" spans="1:24" ht="5.15" customHeight="1" x14ac:dyDescent="0.6">
      <c r="G47" s="65"/>
      <c r="I47" s="65"/>
      <c r="K47" s="65"/>
      <c r="L47" s="95"/>
      <c r="M47" s="65"/>
      <c r="O47" s="65"/>
      <c r="Q47" s="65"/>
      <c r="R47" s="95"/>
      <c r="S47" s="65"/>
      <c r="U47" s="65"/>
      <c r="X47" s="3"/>
    </row>
    <row r="48" spans="1:24" s="19" customFormat="1" x14ac:dyDescent="0.6">
      <c r="B48" s="19" t="s">
        <v>108</v>
      </c>
      <c r="G48" s="84">
        <f>G43-G45</f>
        <v>347.4</v>
      </c>
      <c r="H48" s="84"/>
      <c r="I48" s="84">
        <f>I43-I45</f>
        <v>412</v>
      </c>
      <c r="K48" s="84">
        <f>K43-K45</f>
        <v>486.09999999999985</v>
      </c>
      <c r="L48" s="84"/>
      <c r="M48" s="84">
        <f>M43-M45</f>
        <v>516.29999999999984</v>
      </c>
      <c r="O48" s="84">
        <f>O43-O45</f>
        <v>606.9</v>
      </c>
      <c r="Q48" s="84">
        <f>Q43-Q45</f>
        <v>689.49999999999977</v>
      </c>
      <c r="R48" s="84"/>
      <c r="S48" s="84">
        <f>S43-S45</f>
        <v>761.1826904446458</v>
      </c>
      <c r="U48" s="84">
        <f>U43-U45</f>
        <v>840.83930553241373</v>
      </c>
      <c r="X48" s="62">
        <f>(U48/M48)^(1/(U$5-$M$5))-1</f>
        <v>0.12967292462389657</v>
      </c>
    </row>
    <row r="49" spans="1:24" s="56" customFormat="1" ht="12.75" customHeight="1" x14ac:dyDescent="0.6">
      <c r="C49" s="56" t="s">
        <v>92</v>
      </c>
      <c r="G49" s="64">
        <f>G48/G$7</f>
        <v>0.17041106641813009</v>
      </c>
      <c r="I49" s="64">
        <f>I48/I$7</f>
        <v>0.16612233377686383</v>
      </c>
      <c r="K49" s="64">
        <f>K48/K$7</f>
        <v>0.17139129821592267</v>
      </c>
      <c r="L49" s="64"/>
      <c r="M49" s="64">
        <f>M48/M$7</f>
        <v>0.16548076923076918</v>
      </c>
      <c r="N49" s="3"/>
      <c r="O49" s="64">
        <f>O48/O$7</f>
        <v>0.17489913544668587</v>
      </c>
      <c r="P49" s="3"/>
      <c r="Q49" s="64">
        <f>Q48/Q$7</f>
        <v>0.17881224066390036</v>
      </c>
      <c r="R49" s="64"/>
      <c r="S49" s="64">
        <f>S48/S$7</f>
        <v>0.17764145760896696</v>
      </c>
      <c r="T49" s="3"/>
      <c r="U49" s="64">
        <f>U48/U$7</f>
        <v>0.17658787431005127</v>
      </c>
    </row>
    <row r="50" spans="1:24" ht="5.15" customHeight="1" x14ac:dyDescent="0.6">
      <c r="X50" s="3"/>
    </row>
    <row r="51" spans="1:24" s="19" customFormat="1" x14ac:dyDescent="0.6">
      <c r="A51" s="85"/>
      <c r="B51" s="85" t="s">
        <v>109</v>
      </c>
      <c r="C51" s="85"/>
      <c r="D51" s="85"/>
      <c r="E51" s="85"/>
      <c r="F51" s="85"/>
      <c r="G51" s="86">
        <f>G48/G53</f>
        <v>1.6342774884626783</v>
      </c>
      <c r="H51" s="85"/>
      <c r="I51" s="86">
        <f>I48/I53</f>
        <v>1.8852901607987773</v>
      </c>
      <c r="J51" s="85"/>
      <c r="K51" s="86">
        <f>K48/K53</f>
        <v>2.1773211022324142</v>
      </c>
      <c r="L51" s="86"/>
      <c r="M51" s="86">
        <f>M48/M53</f>
        <v>2.3351530309951642</v>
      </c>
      <c r="N51" s="85"/>
      <c r="O51" s="86">
        <f>O48/O53</f>
        <v>2.7059201198469811</v>
      </c>
      <c r="P51" s="85"/>
      <c r="Q51" s="86">
        <f>Q48/Q53</f>
        <v>3.0203341422601464</v>
      </c>
      <c r="R51" s="86"/>
      <c r="S51" s="86">
        <f>S48/S53</f>
        <v>3.2769202209545378</v>
      </c>
      <c r="T51" s="85"/>
      <c r="U51" s="86">
        <f>U48/U53</f>
        <v>3.5585659139027017</v>
      </c>
      <c r="V51" s="87"/>
      <c r="X51" s="62">
        <f>(U51/M51)^(1/(U$5-$M$5))-1</f>
        <v>0.11106615119503571</v>
      </c>
    </row>
    <row r="52" spans="1:24" ht="5.15" customHeight="1" x14ac:dyDescent="0.6"/>
    <row r="53" spans="1:24" x14ac:dyDescent="0.6">
      <c r="B53" t="s">
        <v>110</v>
      </c>
      <c r="G53" s="12">
        <v>212.571</v>
      </c>
      <c r="H53" s="13"/>
      <c r="I53" s="12">
        <v>218.53399999999999</v>
      </c>
      <c r="J53" s="13"/>
      <c r="K53" s="12">
        <v>223.256</v>
      </c>
      <c r="L53" s="12"/>
      <c r="M53" s="12">
        <v>221.09899999999999</v>
      </c>
      <c r="O53" s="12">
        <v>224.286</v>
      </c>
      <c r="Q53" s="12">
        <v>228.286</v>
      </c>
      <c r="R53" s="12"/>
      <c r="S53" s="12">
        <v>232.286</v>
      </c>
      <c r="U53" s="12">
        <v>236.286</v>
      </c>
    </row>
    <row r="55" spans="1:24" x14ac:dyDescent="0.6">
      <c r="B55" s="19" t="s">
        <v>111</v>
      </c>
    </row>
    <row r="56" spans="1:24" x14ac:dyDescent="0.6">
      <c r="C56" t="s">
        <v>96</v>
      </c>
      <c r="G56" s="16">
        <f>G24*(1-G46)</f>
        <v>12.349861495844875</v>
      </c>
      <c r="I56" s="16">
        <f>I24*(1-I46)</f>
        <v>32.046338436077782</v>
      </c>
      <c r="K56" s="16">
        <f>K24*(1-K46)</f>
        <v>67.091461170408536</v>
      </c>
      <c r="L56" s="16"/>
      <c r="M56" s="16">
        <f>M24*(1-M46)</f>
        <v>53.54478939419365</v>
      </c>
      <c r="O56" s="16">
        <f>O24*(1-O46)</f>
        <v>53.463768115942024</v>
      </c>
      <c r="Q56" s="16">
        <f>Q24*(1-Q46)</f>
        <v>53.462981490745371</v>
      </c>
      <c r="R56" s="16"/>
      <c r="S56" s="16">
        <f>S24*(1-S46)</f>
        <v>53.462981490745371</v>
      </c>
      <c r="U56" s="16">
        <f>U24*(1-U46)</f>
        <v>53.462981490745371</v>
      </c>
    </row>
    <row r="57" spans="1:24" x14ac:dyDescent="0.6">
      <c r="C57" t="s">
        <v>98</v>
      </c>
      <c r="G57" s="88">
        <f>G29*(1-G46)</f>
        <v>35.686288088642662</v>
      </c>
      <c r="I57" s="88">
        <f>I29*(1-I46)</f>
        <v>39.37608605709557</v>
      </c>
      <c r="K57" s="88">
        <f>K29*(1-K46)</f>
        <v>47.94803091645197</v>
      </c>
      <c r="L57" s="88"/>
      <c r="M57" s="88">
        <f>M29*(1-M46)</f>
        <v>47.219919449572075</v>
      </c>
      <c r="O57" s="88">
        <f>O29*(1-O46)</f>
        <v>46.306521739130432</v>
      </c>
      <c r="Q57" s="88">
        <f>Q29*(1-Q46)</f>
        <v>51.393446723361677</v>
      </c>
      <c r="R57" s="88"/>
      <c r="S57" s="88">
        <f>S29*(1-S46)</f>
        <v>57.110412266652062</v>
      </c>
      <c r="U57" s="88">
        <f>U29*(1-U46)</f>
        <v>63.463328443864647</v>
      </c>
    </row>
    <row r="58" spans="1:24" ht="13.5" customHeight="1" thickBot="1" x14ac:dyDescent="0.75">
      <c r="C58" t="s">
        <v>112</v>
      </c>
      <c r="G58" s="17">
        <f>12.59*(1-G46)</f>
        <v>10.096412742382272</v>
      </c>
      <c r="I58" s="17">
        <v>21.9</v>
      </c>
      <c r="K58" s="17">
        <v>6.1</v>
      </c>
      <c r="L58" s="17"/>
      <c r="M58" s="83">
        <v>0</v>
      </c>
      <c r="N58" s="98"/>
      <c r="O58" s="83">
        <v>0</v>
      </c>
      <c r="P58" s="98"/>
      <c r="Q58" s="83">
        <v>0</v>
      </c>
      <c r="R58" s="83"/>
      <c r="S58" s="103">
        <f>Q58</f>
        <v>0</v>
      </c>
      <c r="T58" s="98"/>
      <c r="U58" s="103">
        <f>S58</f>
        <v>0</v>
      </c>
    </row>
    <row r="59" spans="1:24" ht="5.15" customHeight="1" x14ac:dyDescent="0.6">
      <c r="G59" s="65"/>
      <c r="I59" s="65"/>
      <c r="K59" s="65"/>
      <c r="L59" s="95"/>
      <c r="M59" s="65"/>
      <c r="O59" s="65"/>
      <c r="Q59" s="65"/>
      <c r="R59" s="95"/>
      <c r="S59" s="106"/>
      <c r="U59" s="106"/>
    </row>
    <row r="60" spans="1:24" s="19" customFormat="1" x14ac:dyDescent="0.6">
      <c r="B60" s="19" t="s">
        <v>113</v>
      </c>
      <c r="G60" s="84">
        <f>G48-SUM(G56:G58)</f>
        <v>289.26743767313019</v>
      </c>
      <c r="I60" s="84">
        <f>I48-SUM(I56:I58)</f>
        <v>318.67757550682666</v>
      </c>
      <c r="K60" s="84">
        <f>K48-SUM(K56:K58)</f>
        <v>364.96050791313934</v>
      </c>
      <c r="L60" s="84"/>
      <c r="M60" s="84">
        <f>M48-SUM(M56:M58)</f>
        <v>415.53529115623411</v>
      </c>
      <c r="O60" s="84">
        <f>O48-SUM(O56:O58)</f>
        <v>507.12971014492751</v>
      </c>
      <c r="Q60" s="84">
        <f>Q48-SUM(Q56:Q58)</f>
        <v>584.64357178589273</v>
      </c>
      <c r="R60" s="84"/>
      <c r="S60" s="84">
        <f>S48-SUM(S56:S58)</f>
        <v>650.60929668724839</v>
      </c>
      <c r="U60" s="84">
        <f>U48-SUM(U56:U58)</f>
        <v>723.91299559780373</v>
      </c>
      <c r="X60" s="62">
        <f>(U60/M60)^(1/(U$5-$M$5))-1</f>
        <v>0.14886662911691295</v>
      </c>
    </row>
    <row r="61" spans="1:24" s="56" customFormat="1" ht="12.75" customHeight="1" x14ac:dyDescent="0.6">
      <c r="C61" s="56" t="s">
        <v>92</v>
      </c>
      <c r="G61" s="64">
        <f>G60/G$7</f>
        <v>0.14189514258468075</v>
      </c>
      <c r="I61" s="64">
        <f>I60/I$7</f>
        <v>0.12849384117851162</v>
      </c>
      <c r="K61" s="64">
        <f>K60/K$7</f>
        <v>0.12867939775514398</v>
      </c>
      <c r="L61" s="64"/>
      <c r="M61" s="64">
        <f>M60/M$7</f>
        <v>0.13318438819110068</v>
      </c>
      <c r="N61" s="3"/>
      <c r="O61" s="64">
        <f>O60/O$7</f>
        <v>0.1461468905316794</v>
      </c>
      <c r="P61" s="3"/>
      <c r="Q61" s="64">
        <f>Q60/Q$7</f>
        <v>0.15161918355443277</v>
      </c>
      <c r="R61" s="64"/>
      <c r="S61" s="64">
        <f>S60/S$7</f>
        <v>0.15183632687437265</v>
      </c>
      <c r="T61" s="3"/>
      <c r="U61" s="64">
        <f>U60/U$7</f>
        <v>0.15203173333707784</v>
      </c>
    </row>
    <row r="62" spans="1:24" ht="5.15" customHeight="1" x14ac:dyDescent="0.6">
      <c r="X62" s="3"/>
    </row>
    <row r="63" spans="1:24" x14ac:dyDescent="0.6">
      <c r="A63" s="85"/>
      <c r="B63" s="85" t="s">
        <v>114</v>
      </c>
      <c r="C63" s="85"/>
      <c r="D63" s="85"/>
      <c r="E63" s="85"/>
      <c r="F63" s="85"/>
      <c r="G63" s="86">
        <f>G60/G53</f>
        <v>1.3608038616421345</v>
      </c>
      <c r="H63" s="85"/>
      <c r="I63" s="86">
        <f>I60/I53</f>
        <v>1.4582516931316256</v>
      </c>
      <c r="J63" s="85"/>
      <c r="K63" s="86">
        <f>K60/K53</f>
        <v>1.6347175794296205</v>
      </c>
      <c r="L63" s="86"/>
      <c r="M63" s="86">
        <f>M60/M53</f>
        <v>1.8794082793510334</v>
      </c>
      <c r="N63" s="85"/>
      <c r="O63" s="86">
        <f>O60/O53</f>
        <v>2.2610849992640087</v>
      </c>
      <c r="P63" s="85"/>
      <c r="Q63" s="86">
        <f>Q60/Q53</f>
        <v>2.56101369241168</v>
      </c>
      <c r="R63" s="86"/>
      <c r="S63" s="86">
        <f>S60/S53</f>
        <v>2.8008975861104344</v>
      </c>
      <c r="T63" s="85"/>
      <c r="U63" s="86">
        <f>U60/U53</f>
        <v>3.0637151401175005</v>
      </c>
      <c r="V63" s="87"/>
      <c r="X63" s="62">
        <f>(U63/M63)^(1/(U$5-$M$5))-1</f>
        <v>0.12994371735900367</v>
      </c>
    </row>
    <row r="65" spans="1:22" s="89" customFormat="1" x14ac:dyDescent="0.6">
      <c r="B65" s="89" t="s">
        <v>115</v>
      </c>
      <c r="G65" s="23">
        <v>71.400000000000006</v>
      </c>
      <c r="I65" s="23">
        <v>80.7</v>
      </c>
      <c r="K65" s="23">
        <v>166.4</v>
      </c>
      <c r="L65" s="23"/>
      <c r="M65" s="23">
        <v>183.1</v>
      </c>
      <c r="O65" s="23">
        <v>203.6</v>
      </c>
      <c r="Q65" s="23">
        <v>226.3</v>
      </c>
      <c r="R65" s="23"/>
      <c r="S65" s="16">
        <f>S66*S7</f>
        <v>192.82222478386166</v>
      </c>
      <c r="U65" s="16">
        <f>U66*U7</f>
        <v>190.46365642435364</v>
      </c>
    </row>
    <row r="66" spans="1:22" s="56" customFormat="1" ht="12.75" customHeight="1" x14ac:dyDescent="0.6">
      <c r="A66" s="72"/>
      <c r="B66" s="72"/>
      <c r="C66" s="72" t="s">
        <v>90</v>
      </c>
      <c r="D66" s="72"/>
      <c r="E66" s="72"/>
      <c r="F66" s="72"/>
      <c r="G66" s="73">
        <f>G65/G$7</f>
        <v>3.5024036103208089E-2</v>
      </c>
      <c r="H66" s="72"/>
      <c r="I66" s="73">
        <f>I65/I$7</f>
        <v>3.2539010523769202E-2</v>
      </c>
      <c r="J66" s="72"/>
      <c r="K66" s="73">
        <f>K65/K$7</f>
        <v>5.8670051477328823E-2</v>
      </c>
      <c r="L66" s="73"/>
      <c r="M66" s="73">
        <f>M65/M$7</f>
        <v>5.8685897435897437E-2</v>
      </c>
      <c r="N66" s="96"/>
      <c r="O66" s="73">
        <f>O65/O$7</f>
        <v>5.8674351585014405E-2</v>
      </c>
      <c r="P66" s="96"/>
      <c r="Q66" s="73">
        <f>Q65/Q$7</f>
        <v>5.8687759336099585E-2</v>
      </c>
      <c r="R66" s="73"/>
      <c r="S66" s="107">
        <v>4.4999999999999998E-2</v>
      </c>
      <c r="T66" s="72"/>
      <c r="U66" s="107">
        <v>0.04</v>
      </c>
      <c r="V66" s="72"/>
    </row>
  </sheetData>
  <phoneticPr fontId="12" type="noConversion"/>
  <pageMargins left="0.75" right="0.75" top="1" bottom="1" header="0.5" footer="0.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showGridLines="0" zoomScale="90" workbookViewId="0"/>
  </sheetViews>
  <sheetFormatPr defaultRowHeight="13" x14ac:dyDescent="0.6"/>
  <cols>
    <col min="1" max="1" width="0.86328125" customWidth="1"/>
    <col min="2" max="3" width="1.7265625" customWidth="1"/>
    <col min="4" max="7" width="9.7265625" customWidth="1"/>
    <col min="8" max="8" width="1.7265625" customWidth="1"/>
    <col min="9" max="9" width="9.7265625" customWidth="1"/>
    <col min="10" max="10" width="1.7265625" customWidth="1"/>
    <col min="11" max="11" width="9.7265625" customWidth="1"/>
    <col min="12" max="12" width="1.7265625" customWidth="1"/>
    <col min="13" max="13" width="9.7265625" customWidth="1"/>
    <col min="14" max="14" width="1.7265625" customWidth="1"/>
    <col min="15" max="15" width="9.7265625" customWidth="1"/>
    <col min="16" max="16" width="1.7265625" customWidth="1"/>
    <col min="17" max="17" width="9.7265625" customWidth="1"/>
    <col min="18" max="18" width="1.7265625" customWidth="1"/>
    <col min="19" max="19" width="9.7265625" customWidth="1"/>
    <col min="20" max="20" width="1.7265625" customWidth="1"/>
    <col min="21" max="21" width="9.7265625" customWidth="1"/>
    <col min="22" max="23" width="0.86328125" customWidth="1"/>
    <col min="24" max="24" width="10.7265625" customWidth="1"/>
  </cols>
  <sheetData>
    <row r="1" spans="1:24" ht="24" customHeight="1" thickBot="1" x14ac:dyDescent="1.1000000000000001">
      <c r="A1" s="1" t="str">
        <f>tgt&amp;" Income Statement"</f>
        <v>TargetCo Income Statement</v>
      </c>
      <c r="B1" s="55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6">
      <c r="A2" s="108" t="s">
        <v>1</v>
      </c>
      <c r="B2" s="56"/>
    </row>
    <row r="4" spans="1:24" ht="13.5" customHeight="1" thickBot="1" x14ac:dyDescent="0.75">
      <c r="G4" s="7" t="str">
        <f>year&amp;" Ended "&amp;IF(year="FY",TEXT(acq_fye,"mmmm d"),"December 31")&amp;","</f>
        <v>FY Ended September 30,</v>
      </c>
      <c r="H4" s="7"/>
      <c r="I4" s="7"/>
      <c r="J4" s="7"/>
      <c r="K4" s="7"/>
      <c r="M4" s="7" t="str">
        <f>year&amp;" Ending "&amp;IF(year="FY",TEXT(acq_fye,"mmmm d"),"December 31")&amp;","</f>
        <v>FY Ending September 30,</v>
      </c>
      <c r="N4" s="32"/>
      <c r="O4" s="32"/>
      <c r="P4" s="32"/>
      <c r="Q4" s="32"/>
      <c r="R4" s="32"/>
      <c r="S4" s="32"/>
      <c r="T4" s="32"/>
      <c r="U4" s="32"/>
      <c r="X4" s="99" t="s">
        <v>116</v>
      </c>
    </row>
    <row r="5" spans="1:24" ht="13.5" customHeight="1" thickBot="1" x14ac:dyDescent="0.75">
      <c r="G5" s="109">
        <f>I5-1</f>
        <v>2005</v>
      </c>
      <c r="H5" s="110"/>
      <c r="I5" s="109">
        <f>K5-1</f>
        <v>2006</v>
      </c>
      <c r="K5" s="111">
        <f>'Buyer P&amp;L'!K5</f>
        <v>2007</v>
      </c>
      <c r="M5" s="94">
        <f>K5+1</f>
        <v>2008</v>
      </c>
      <c r="O5" s="94">
        <f>M5+1</f>
        <v>2009</v>
      </c>
      <c r="Q5" s="94">
        <f>O5+1</f>
        <v>2010</v>
      </c>
      <c r="R5" s="100"/>
      <c r="S5" s="101">
        <f>Q5+1</f>
        <v>2011</v>
      </c>
      <c r="U5" s="101">
        <f>S5+1</f>
        <v>2012</v>
      </c>
      <c r="X5" s="102" t="str">
        <f>M5&amp;"-"&amp;U5</f>
        <v>2008-2012</v>
      </c>
    </row>
    <row r="6" spans="1:24" ht="5.15" customHeight="1" x14ac:dyDescent="0.6"/>
    <row r="7" spans="1:24" s="59" customFormat="1" x14ac:dyDescent="0.6">
      <c r="B7" s="59" t="s">
        <v>87</v>
      </c>
      <c r="G7" s="60">
        <v>370.8</v>
      </c>
      <c r="I7" s="60">
        <v>380.8</v>
      </c>
      <c r="K7" s="60">
        <v>402.5</v>
      </c>
      <c r="M7" s="60">
        <v>458.1</v>
      </c>
      <c r="O7" s="60">
        <v>468</v>
      </c>
      <c r="Q7" s="60">
        <v>470.5</v>
      </c>
      <c r="S7" s="84">
        <f>Q7*(1+S8)</f>
        <v>475.20499999999998</v>
      </c>
      <c r="U7" s="84">
        <f>S7*(1+U8)</f>
        <v>479.95704999999998</v>
      </c>
      <c r="X7" s="62">
        <f>(U7/M7)^(1/(U$5-$M$5))-1</f>
        <v>1.1720432226423716E-2</v>
      </c>
    </row>
    <row r="8" spans="1:24" s="56" customFormat="1" ht="12.75" customHeight="1" x14ac:dyDescent="0.6">
      <c r="C8" s="56" t="s">
        <v>88</v>
      </c>
      <c r="G8" s="61" t="s">
        <v>25</v>
      </c>
      <c r="I8" s="62">
        <f>I7/G7-1</f>
        <v>2.6968716289104577E-2</v>
      </c>
      <c r="K8" s="62">
        <f>K7/I7-1</f>
        <v>5.6985294117646967E-2</v>
      </c>
      <c r="M8" s="62">
        <f>M7/K7-1</f>
        <v>0.1381366459627329</v>
      </c>
      <c r="O8" s="62">
        <f>O7/M7-1</f>
        <v>2.16110019646365E-2</v>
      </c>
      <c r="Q8" s="62">
        <f>Q7/O7-1</f>
        <v>5.3418803418803229E-3</v>
      </c>
      <c r="S8" s="43">
        <v>0.01</v>
      </c>
      <c r="U8" s="62">
        <f>S8</f>
        <v>0.01</v>
      </c>
      <c r="X8" s="3"/>
    </row>
    <row r="9" spans="1:24" ht="5.15" customHeight="1" x14ac:dyDescent="0.6"/>
    <row r="10" spans="1:24" s="63" customFormat="1" x14ac:dyDescent="0.6">
      <c r="B10" s="63" t="s">
        <v>89</v>
      </c>
      <c r="G10" s="17">
        <v>182.5</v>
      </c>
      <c r="I10" s="17">
        <v>188.6</v>
      </c>
      <c r="K10" s="17">
        <v>207.7</v>
      </c>
      <c r="M10" s="17">
        <v>239.6</v>
      </c>
      <c r="O10" s="17">
        <v>249.8</v>
      </c>
      <c r="Q10" s="17">
        <v>252.2</v>
      </c>
      <c r="S10" s="88">
        <f>S11*S7</f>
        <v>254.72199999999998</v>
      </c>
      <c r="U10" s="88">
        <f>U11*U7</f>
        <v>257.26921999999996</v>
      </c>
    </row>
    <row r="11" spans="1:24" s="56" customFormat="1" ht="12.75" customHeight="1" thickBot="1" x14ac:dyDescent="0.75">
      <c r="C11" s="56" t="s">
        <v>90</v>
      </c>
      <c r="G11" s="64">
        <f>G10/G7</f>
        <v>0.49217907227615965</v>
      </c>
      <c r="I11" s="64">
        <f>I10/I7</f>
        <v>0.49527310924369744</v>
      </c>
      <c r="K11" s="64">
        <f>K10/K7</f>
        <v>0.51602484472049681</v>
      </c>
      <c r="M11" s="64">
        <f>M10/M7</f>
        <v>0.52302990613403189</v>
      </c>
      <c r="O11" s="64">
        <f>O10/O7</f>
        <v>0.53376068376068375</v>
      </c>
      <c r="Q11" s="64">
        <f>Q10/Q7</f>
        <v>0.53602550478214661</v>
      </c>
      <c r="S11" s="112">
        <f>Q11</f>
        <v>0.53602550478214661</v>
      </c>
      <c r="U11" s="64">
        <f>S11</f>
        <v>0.53602550478214661</v>
      </c>
      <c r="X11" s="3"/>
    </row>
    <row r="12" spans="1:24" x14ac:dyDescent="0.6">
      <c r="B12" t="s">
        <v>91</v>
      </c>
      <c r="G12" s="65">
        <f>G7-G10</f>
        <v>188.3</v>
      </c>
      <c r="I12" s="65">
        <f>I7-I10</f>
        <v>192.20000000000002</v>
      </c>
      <c r="K12" s="65">
        <f>K7-K10</f>
        <v>194.8</v>
      </c>
      <c r="M12" s="65">
        <f>M7-M10</f>
        <v>218.50000000000003</v>
      </c>
      <c r="O12" s="65">
        <f>O7-O10</f>
        <v>218.2</v>
      </c>
      <c r="Q12" s="65">
        <f>Q7-Q10</f>
        <v>218.3</v>
      </c>
      <c r="S12" s="65">
        <f>S7-S10</f>
        <v>220.483</v>
      </c>
      <c r="U12" s="65">
        <f>U7-U10</f>
        <v>222.68783000000002</v>
      </c>
      <c r="X12" s="62">
        <f>(U12/M12)^(1/(U$5-$M$5))-1</f>
        <v>4.7575088608706739E-3</v>
      </c>
    </row>
    <row r="13" spans="1:24" s="56" customFormat="1" ht="12.75" customHeight="1" x14ac:dyDescent="0.6">
      <c r="C13" s="56" t="s">
        <v>92</v>
      </c>
      <c r="G13" s="64">
        <f>G12/G$7</f>
        <v>0.50782092772384035</v>
      </c>
      <c r="I13" s="64">
        <f>I12/I$7</f>
        <v>0.5047268907563025</v>
      </c>
      <c r="K13" s="64">
        <f>K12/K$7</f>
        <v>0.48397515527950313</v>
      </c>
      <c r="M13" s="64">
        <f>M12/M$7</f>
        <v>0.47697009386596817</v>
      </c>
      <c r="O13" s="64">
        <f>O12/O$7</f>
        <v>0.46623931623931619</v>
      </c>
      <c r="Q13" s="64">
        <f>Q12/Q$7</f>
        <v>0.46397449521785339</v>
      </c>
      <c r="S13" s="64">
        <f>S12/S$7</f>
        <v>0.46397449521785339</v>
      </c>
      <c r="U13" s="64">
        <f>U12/U$7</f>
        <v>0.46397449521785339</v>
      </c>
      <c r="X13" s="3"/>
    </row>
    <row r="14" spans="1:24" ht="5.15" customHeight="1" x14ac:dyDescent="0.6"/>
    <row r="15" spans="1:24" s="63" customFormat="1" ht="12.75" customHeight="1" x14ac:dyDescent="0.6">
      <c r="B15" s="63" t="s">
        <v>93</v>
      </c>
      <c r="G15" s="17">
        <v>46.6</v>
      </c>
      <c r="I15" s="66">
        <v>61.9</v>
      </c>
      <c r="K15" s="17">
        <v>74.8</v>
      </c>
      <c r="M15" s="17">
        <v>88.3</v>
      </c>
      <c r="O15" s="17">
        <v>91.7</v>
      </c>
      <c r="Q15" s="17">
        <v>92.4</v>
      </c>
      <c r="S15" s="88">
        <f>S16*S7</f>
        <v>93.323999999999998</v>
      </c>
      <c r="U15" s="88">
        <f>U16*U7</f>
        <v>94.257239999999996</v>
      </c>
    </row>
    <row r="16" spans="1:24" s="56" customFormat="1" ht="12.75" customHeight="1" x14ac:dyDescent="0.6">
      <c r="C16" s="56" t="s">
        <v>90</v>
      </c>
      <c r="G16" s="64">
        <f>G15/G$7</f>
        <v>0.1256742179072276</v>
      </c>
      <c r="I16" s="64">
        <f>I15/I$7</f>
        <v>0.16255252100840334</v>
      </c>
      <c r="K16" s="64">
        <f>K15/K$7</f>
        <v>0.18583850931677018</v>
      </c>
      <c r="M16" s="64">
        <f>M15/M$7</f>
        <v>0.19275267408862692</v>
      </c>
      <c r="O16" s="64">
        <f>O15/O$7</f>
        <v>0.19594017094017094</v>
      </c>
      <c r="Q16" s="64">
        <f>Q15/Q$7</f>
        <v>0.19638682252922424</v>
      </c>
      <c r="S16" s="112">
        <f>Q16</f>
        <v>0.19638682252922424</v>
      </c>
      <c r="U16" s="64">
        <f>S16</f>
        <v>0.19638682252922424</v>
      </c>
      <c r="X16" s="3"/>
    </row>
    <row r="17" spans="1:24" ht="5.15" customHeight="1" x14ac:dyDescent="0.6"/>
    <row r="18" spans="1:24" ht="5.15" customHeight="1" x14ac:dyDescent="0.6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8"/>
    </row>
    <row r="19" spans="1:24" s="19" customFormat="1" x14ac:dyDescent="0.6">
      <c r="A19" s="69"/>
      <c r="B19" s="69" t="s">
        <v>94</v>
      </c>
      <c r="C19" s="69"/>
      <c r="D19" s="69"/>
      <c r="E19" s="69"/>
      <c r="F19" s="69"/>
      <c r="G19" s="70">
        <f>G12-G15</f>
        <v>141.70000000000002</v>
      </c>
      <c r="H19" s="69"/>
      <c r="I19" s="70">
        <f>I12-I15</f>
        <v>130.30000000000001</v>
      </c>
      <c r="J19" s="69"/>
      <c r="K19" s="70">
        <f>K12-K15</f>
        <v>120.00000000000001</v>
      </c>
      <c r="L19" s="69"/>
      <c r="M19" s="70">
        <f>M12-M15</f>
        <v>130.20000000000005</v>
      </c>
      <c r="N19" s="69"/>
      <c r="O19" s="70">
        <f>O12-O15</f>
        <v>126.49999999999999</v>
      </c>
      <c r="P19" s="69"/>
      <c r="Q19" s="70">
        <f>Q12-Q15</f>
        <v>125.9</v>
      </c>
      <c r="R19" s="69"/>
      <c r="S19" s="70">
        <f>S12-S15</f>
        <v>127.15900000000001</v>
      </c>
      <c r="T19" s="69"/>
      <c r="U19" s="70">
        <f>U12-U15</f>
        <v>128.43059000000002</v>
      </c>
      <c r="V19" s="71"/>
      <c r="X19" s="62">
        <f>(U19/M19)^(1/(U$5-$M$5))-1</f>
        <v>-3.4149375463713438E-3</v>
      </c>
    </row>
    <row r="20" spans="1:24" s="56" customFormat="1" ht="12.75" customHeight="1" x14ac:dyDescent="0.6">
      <c r="A20" s="72"/>
      <c r="B20" s="72"/>
      <c r="C20" s="72" t="s">
        <v>92</v>
      </c>
      <c r="D20" s="72"/>
      <c r="E20" s="72"/>
      <c r="F20" s="72"/>
      <c r="G20" s="73">
        <f>G19/G$7</f>
        <v>0.38214670981661275</v>
      </c>
      <c r="H20" s="72"/>
      <c r="I20" s="73">
        <f>I19/I$7</f>
        <v>0.34217436974789917</v>
      </c>
      <c r="J20" s="72"/>
      <c r="K20" s="73">
        <f>K19/K$7</f>
        <v>0.29813664596273293</v>
      </c>
      <c r="L20" s="72"/>
      <c r="M20" s="73">
        <f>M19/M$7</f>
        <v>0.28421741977734127</v>
      </c>
      <c r="N20" s="72"/>
      <c r="O20" s="73">
        <f>O19/O$7</f>
        <v>0.27029914529914528</v>
      </c>
      <c r="P20" s="72"/>
      <c r="Q20" s="73">
        <f>Q19/Q$7</f>
        <v>0.26758767268862915</v>
      </c>
      <c r="R20" s="72"/>
      <c r="S20" s="73">
        <f>S19/S$7</f>
        <v>0.26758767268862915</v>
      </c>
      <c r="T20" s="72"/>
      <c r="U20" s="73">
        <f>U19/U$7</f>
        <v>0.26758767268862915</v>
      </c>
      <c r="V20" s="74"/>
      <c r="X20" s="3"/>
    </row>
    <row r="21" spans="1:24" ht="5.15" customHeight="1" x14ac:dyDescent="0.6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6"/>
    </row>
    <row r="22" spans="1:24" s="63" customFormat="1" ht="12.75" customHeight="1" x14ac:dyDescent="0.6">
      <c r="A22" s="77"/>
      <c r="B22" s="77" t="s">
        <v>95</v>
      </c>
      <c r="C22" s="77"/>
      <c r="D22" s="77"/>
      <c r="E22" s="77"/>
      <c r="F22" s="77"/>
      <c r="G22" s="66">
        <v>14</v>
      </c>
      <c r="H22" s="77"/>
      <c r="I22" s="78">
        <v>11.1</v>
      </c>
      <c r="J22" s="77"/>
      <c r="K22" s="78">
        <v>12.1</v>
      </c>
      <c r="L22" s="77"/>
      <c r="M22" s="78">
        <v>14.1</v>
      </c>
      <c r="N22" s="77"/>
      <c r="O22" s="78">
        <v>14.1</v>
      </c>
      <c r="P22" s="77"/>
      <c r="Q22" s="78">
        <v>14.1</v>
      </c>
      <c r="R22" s="77"/>
      <c r="S22" s="97">
        <f>S23*S7</f>
        <v>14.241</v>
      </c>
      <c r="T22" s="77"/>
      <c r="U22" s="97">
        <f>U23*U7</f>
        <v>14.38341</v>
      </c>
      <c r="V22" s="79"/>
    </row>
    <row r="23" spans="1:24" s="56" customFormat="1" ht="12.75" customHeight="1" x14ac:dyDescent="0.6">
      <c r="A23" s="72"/>
      <c r="B23" s="72"/>
      <c r="C23" s="72" t="s">
        <v>90</v>
      </c>
      <c r="D23" s="72"/>
      <c r="E23" s="72"/>
      <c r="F23" s="72"/>
      <c r="G23" s="73">
        <f>G22/G$7</f>
        <v>3.7756202804746494E-2</v>
      </c>
      <c r="H23" s="72"/>
      <c r="I23" s="73">
        <f>I22/I$7</f>
        <v>2.9149159663865543E-2</v>
      </c>
      <c r="J23" s="72"/>
      <c r="K23" s="73">
        <f>K22/K$7</f>
        <v>3.0062111801242235E-2</v>
      </c>
      <c r="L23" s="72"/>
      <c r="M23" s="73">
        <f>M22/M$7</f>
        <v>3.0779305828421741E-2</v>
      </c>
      <c r="N23" s="72"/>
      <c r="O23" s="73">
        <f>O22/O$7</f>
        <v>3.0128205128205129E-2</v>
      </c>
      <c r="P23" s="72"/>
      <c r="Q23" s="73">
        <f>Q22/Q$7</f>
        <v>2.9968119022316685E-2</v>
      </c>
      <c r="R23" s="72"/>
      <c r="S23" s="107">
        <f>Q23</f>
        <v>2.9968119022316685E-2</v>
      </c>
      <c r="T23" s="72"/>
      <c r="U23" s="73">
        <f>S23</f>
        <v>2.9968119022316685E-2</v>
      </c>
      <c r="V23" s="74"/>
      <c r="X23" s="3"/>
    </row>
    <row r="24" spans="1:24" s="63" customFormat="1" ht="12.75" customHeight="1" x14ac:dyDescent="0.6">
      <c r="A24" s="77"/>
      <c r="B24" s="77" t="s">
        <v>96</v>
      </c>
      <c r="C24" s="77"/>
      <c r="D24" s="77"/>
      <c r="E24" s="77"/>
      <c r="F24" s="77"/>
      <c r="G24" s="66">
        <v>25.7</v>
      </c>
      <c r="H24" s="77"/>
      <c r="I24" s="78">
        <v>18.2</v>
      </c>
      <c r="J24" s="77"/>
      <c r="K24" s="78">
        <v>18.600000000000001</v>
      </c>
      <c r="L24" s="77"/>
      <c r="M24" s="78">
        <v>19.600000000000001</v>
      </c>
      <c r="N24" s="77"/>
      <c r="O24" s="78">
        <v>19.899999999999999</v>
      </c>
      <c r="P24" s="77"/>
      <c r="Q24" s="78">
        <v>20</v>
      </c>
      <c r="R24" s="77"/>
      <c r="S24" s="97">
        <f>Q24</f>
        <v>20</v>
      </c>
      <c r="T24" s="77"/>
      <c r="U24" s="97">
        <f>S24</f>
        <v>20</v>
      </c>
      <c r="V24" s="79"/>
    </row>
    <row r="25" spans="1:24" s="56" customFormat="1" ht="12.75" customHeight="1" thickBot="1" x14ac:dyDescent="0.75">
      <c r="A25" s="72"/>
      <c r="B25" s="72"/>
      <c r="C25" s="72" t="s">
        <v>90</v>
      </c>
      <c r="D25" s="72"/>
      <c r="E25" s="72"/>
      <c r="F25" s="72"/>
      <c r="G25" s="73">
        <f>G24/G$7</f>
        <v>6.9309600862998921E-2</v>
      </c>
      <c r="H25" s="72"/>
      <c r="I25" s="73">
        <f>I24/I$7</f>
        <v>4.779411764705882E-2</v>
      </c>
      <c r="J25" s="72"/>
      <c r="K25" s="73">
        <f>K24/K$7</f>
        <v>4.6211180124223608E-2</v>
      </c>
      <c r="L25" s="72"/>
      <c r="M25" s="73">
        <f>M24/M$7</f>
        <v>4.2785418030997599E-2</v>
      </c>
      <c r="N25" s="72"/>
      <c r="O25" s="73">
        <f>O24/O$7</f>
        <v>4.2521367521367516E-2</v>
      </c>
      <c r="P25" s="72"/>
      <c r="Q25" s="73">
        <f>Q24/Q$7</f>
        <v>4.250797024442083E-2</v>
      </c>
      <c r="R25" s="72"/>
      <c r="S25" s="73">
        <f>S24/S$7</f>
        <v>4.2087099251901815E-2</v>
      </c>
      <c r="T25" s="72"/>
      <c r="U25" s="73">
        <f>U24/U$7</f>
        <v>4.1670395298912685E-2</v>
      </c>
      <c r="V25" s="74"/>
      <c r="X25" s="3"/>
    </row>
    <row r="26" spans="1:24" x14ac:dyDescent="0.6">
      <c r="A26" s="75"/>
      <c r="B26" s="75" t="s">
        <v>97</v>
      </c>
      <c r="C26" s="75"/>
      <c r="D26" s="75"/>
      <c r="E26" s="75"/>
      <c r="F26" s="75"/>
      <c r="G26" s="90">
        <f>G24+G22</f>
        <v>39.700000000000003</v>
      </c>
      <c r="H26" s="116"/>
      <c r="I26" s="90">
        <f>I24+I22</f>
        <v>29.299999999999997</v>
      </c>
      <c r="J26" s="116"/>
      <c r="K26" s="90">
        <f>K24+K22</f>
        <v>30.700000000000003</v>
      </c>
      <c r="L26" s="116"/>
      <c r="M26" s="90">
        <f>M24+M22</f>
        <v>33.700000000000003</v>
      </c>
      <c r="N26" s="116"/>
      <c r="O26" s="90">
        <f>O24+O22</f>
        <v>34</v>
      </c>
      <c r="P26" s="116"/>
      <c r="Q26" s="90">
        <f>Q24+Q22</f>
        <v>34.1</v>
      </c>
      <c r="R26" s="116"/>
      <c r="S26" s="90">
        <f>S24+S22</f>
        <v>34.241</v>
      </c>
      <c r="T26" s="116"/>
      <c r="U26" s="90">
        <f>U24+U22</f>
        <v>34.383409999999998</v>
      </c>
      <c r="V26" s="76"/>
    </row>
    <row r="27" spans="1:24" s="56" customFormat="1" ht="12.75" customHeight="1" x14ac:dyDescent="0.6">
      <c r="A27" s="72"/>
      <c r="B27" s="72"/>
      <c r="C27" s="72" t="s">
        <v>90</v>
      </c>
      <c r="D27" s="72"/>
      <c r="E27" s="72"/>
      <c r="F27" s="72"/>
      <c r="G27" s="73">
        <f>G26/G$7</f>
        <v>0.10706580366774542</v>
      </c>
      <c r="H27" s="72"/>
      <c r="I27" s="73">
        <f>I26/I$7</f>
        <v>7.694327731092436E-2</v>
      </c>
      <c r="J27" s="72"/>
      <c r="K27" s="73">
        <f>K26/K$7</f>
        <v>7.627329192546585E-2</v>
      </c>
      <c r="L27" s="72"/>
      <c r="M27" s="73">
        <f>M26/M$7</f>
        <v>7.356472385941934E-2</v>
      </c>
      <c r="N27" s="72"/>
      <c r="O27" s="73">
        <f>O26/O$7</f>
        <v>7.2649572649572655E-2</v>
      </c>
      <c r="P27" s="72"/>
      <c r="Q27" s="73">
        <f>Q26/Q$7</f>
        <v>7.2476089266737515E-2</v>
      </c>
      <c r="R27" s="72"/>
      <c r="S27" s="73">
        <f>S26/S$7</f>
        <v>7.2055218274218499E-2</v>
      </c>
      <c r="T27" s="72"/>
      <c r="U27" s="73">
        <f>U26/U$7</f>
        <v>7.1638514321229363E-2</v>
      </c>
      <c r="V27" s="74"/>
      <c r="X27" s="3"/>
    </row>
    <row r="28" spans="1:24" ht="5.15" customHeight="1" x14ac:dyDescent="0.6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6"/>
    </row>
    <row r="29" spans="1:24" s="63" customFormat="1" x14ac:dyDescent="0.6">
      <c r="A29" s="77"/>
      <c r="B29" s="77" t="s">
        <v>98</v>
      </c>
      <c r="C29" s="77"/>
      <c r="D29" s="77"/>
      <c r="E29" s="77"/>
      <c r="F29" s="77"/>
      <c r="G29" s="78">
        <v>16.5</v>
      </c>
      <c r="H29" s="77"/>
      <c r="I29" s="78">
        <v>13.4</v>
      </c>
      <c r="J29" s="77"/>
      <c r="K29" s="78">
        <v>11.3</v>
      </c>
      <c r="L29" s="77"/>
      <c r="M29" s="78">
        <v>10.8</v>
      </c>
      <c r="N29" s="77"/>
      <c r="O29" s="78">
        <v>10.6</v>
      </c>
      <c r="P29" s="77"/>
      <c r="Q29" s="78">
        <v>10.7</v>
      </c>
      <c r="R29" s="77"/>
      <c r="S29" s="97">
        <f>S30*S7</f>
        <v>10.806999999999999</v>
      </c>
      <c r="T29" s="77"/>
      <c r="U29" s="97">
        <f>U30*U7</f>
        <v>10.915069999999998</v>
      </c>
      <c r="V29" s="79"/>
    </row>
    <row r="30" spans="1:24" s="56" customFormat="1" ht="12.75" customHeight="1" x14ac:dyDescent="0.6">
      <c r="A30" s="72"/>
      <c r="B30" s="72"/>
      <c r="C30" s="72" t="s">
        <v>90</v>
      </c>
      <c r="D30" s="72"/>
      <c r="E30" s="72"/>
      <c r="F30" s="72"/>
      <c r="G30" s="73">
        <f>G29/G$7</f>
        <v>4.4498381877022652E-2</v>
      </c>
      <c r="H30" s="72"/>
      <c r="I30" s="73">
        <f>I29/I$7</f>
        <v>3.5189075630252101E-2</v>
      </c>
      <c r="J30" s="72"/>
      <c r="K30" s="73">
        <f>K29/K$7</f>
        <v>2.8074534161490684E-2</v>
      </c>
      <c r="L30" s="72"/>
      <c r="M30" s="73">
        <f>M29/M$7</f>
        <v>2.3575638506876228E-2</v>
      </c>
      <c r="N30" s="72"/>
      <c r="O30" s="73">
        <f>O29/O$7</f>
        <v>2.2649572649572649E-2</v>
      </c>
      <c r="P30" s="72"/>
      <c r="Q30" s="73">
        <f>Q29/Q$7</f>
        <v>2.2741764080765142E-2</v>
      </c>
      <c r="R30" s="72"/>
      <c r="S30" s="107">
        <f>Q30</f>
        <v>2.2741764080765142E-2</v>
      </c>
      <c r="T30" s="72"/>
      <c r="U30" s="73">
        <f>S30</f>
        <v>2.2741764080765142E-2</v>
      </c>
      <c r="V30" s="74"/>
      <c r="X30" s="3"/>
    </row>
    <row r="31" spans="1:24" ht="5.15" customHeight="1" x14ac:dyDescent="0.6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6"/>
    </row>
    <row r="32" spans="1:24" s="19" customFormat="1" x14ac:dyDescent="0.6">
      <c r="A32" s="69"/>
      <c r="B32" s="69" t="s">
        <v>99</v>
      </c>
      <c r="C32" s="69"/>
      <c r="D32" s="69"/>
      <c r="E32" s="69"/>
      <c r="F32" s="69"/>
      <c r="G32" s="70">
        <f>G19-G26-G29</f>
        <v>85.500000000000014</v>
      </c>
      <c r="H32" s="69"/>
      <c r="I32" s="70">
        <f>I19-I26-I29</f>
        <v>87.600000000000009</v>
      </c>
      <c r="J32" s="69"/>
      <c r="K32" s="70">
        <f>K19-K26-K29</f>
        <v>78.000000000000014</v>
      </c>
      <c r="L32" s="69"/>
      <c r="M32" s="70">
        <f>M19-M26-M29</f>
        <v>85.700000000000045</v>
      </c>
      <c r="N32" s="69"/>
      <c r="O32" s="70">
        <f>O19-O26-O29</f>
        <v>81.899999999999991</v>
      </c>
      <c r="P32" s="69"/>
      <c r="Q32" s="70">
        <f>Q19-Q26-Q29</f>
        <v>81.100000000000009</v>
      </c>
      <c r="R32" s="69"/>
      <c r="S32" s="70">
        <f>S19-S26-S29</f>
        <v>82.111000000000004</v>
      </c>
      <c r="T32" s="69"/>
      <c r="U32" s="70">
        <f>U19-U26-U29</f>
        <v>83.132110000000026</v>
      </c>
      <c r="V32" s="71"/>
      <c r="X32" s="62">
        <f>(U32/M32)^(1/(U$5-$M$5))-1</f>
        <v>-7.5766008655852035E-3</v>
      </c>
    </row>
    <row r="33" spans="1:24" s="56" customFormat="1" ht="12.75" customHeight="1" x14ac:dyDescent="0.6">
      <c r="A33" s="72"/>
      <c r="B33" s="72"/>
      <c r="C33" s="72" t="s">
        <v>92</v>
      </c>
      <c r="D33" s="72"/>
      <c r="E33" s="72"/>
      <c r="F33" s="72"/>
      <c r="G33" s="73">
        <f>G32/G$7</f>
        <v>0.2305825242718447</v>
      </c>
      <c r="H33" s="72"/>
      <c r="I33" s="73">
        <f>I32/I$7</f>
        <v>0.2300420168067227</v>
      </c>
      <c r="J33" s="72"/>
      <c r="K33" s="73">
        <f>K32/K$7</f>
        <v>0.19378881987577642</v>
      </c>
      <c r="L33" s="72"/>
      <c r="M33" s="73">
        <f>M32/M$7</f>
        <v>0.18707705741104572</v>
      </c>
      <c r="N33" s="72"/>
      <c r="O33" s="73">
        <f>O32/O$7</f>
        <v>0.17499999999999999</v>
      </c>
      <c r="P33" s="72"/>
      <c r="Q33" s="73">
        <f>Q32/Q$7</f>
        <v>0.17236981934112647</v>
      </c>
      <c r="R33" s="72"/>
      <c r="S33" s="73">
        <f>S32/S$7</f>
        <v>0.1727906903336455</v>
      </c>
      <c r="T33" s="72"/>
      <c r="U33" s="73">
        <f>U32/U$7</f>
        <v>0.17320739428663467</v>
      </c>
      <c r="V33" s="74"/>
      <c r="X33" s="3"/>
    </row>
    <row r="34" spans="1:24" ht="5.15" customHeight="1" x14ac:dyDescent="0.6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6"/>
    </row>
    <row r="35" spans="1:24" s="19" customFormat="1" x14ac:dyDescent="0.6">
      <c r="A35" s="69"/>
      <c r="B35" s="69" t="s">
        <v>100</v>
      </c>
      <c r="C35" s="69"/>
      <c r="D35" s="69"/>
      <c r="E35" s="69"/>
      <c r="F35" s="69"/>
      <c r="G35" s="70">
        <f>G32+G24+G29</f>
        <v>127.70000000000002</v>
      </c>
      <c r="H35" s="69"/>
      <c r="I35" s="70">
        <f>I32+I24+I29</f>
        <v>119.20000000000002</v>
      </c>
      <c r="J35" s="69"/>
      <c r="K35" s="70">
        <f>K32+K24+K29</f>
        <v>107.90000000000002</v>
      </c>
      <c r="L35" s="69"/>
      <c r="M35" s="70">
        <f>M32+M24+M29</f>
        <v>116.10000000000004</v>
      </c>
      <c r="N35" s="69"/>
      <c r="O35" s="70">
        <f>O32+O24+O29</f>
        <v>112.39999999999998</v>
      </c>
      <c r="P35" s="69"/>
      <c r="Q35" s="70">
        <f>Q32+Q24+Q29</f>
        <v>111.80000000000001</v>
      </c>
      <c r="R35" s="69"/>
      <c r="S35" s="70">
        <f>S32+S24+S29</f>
        <v>112.91800000000001</v>
      </c>
      <c r="T35" s="69"/>
      <c r="U35" s="70">
        <f>U32+U24+U29</f>
        <v>114.04718000000003</v>
      </c>
      <c r="V35" s="71"/>
      <c r="X35" s="62">
        <f>(U35/M35)^(1/(U$5-$M$5))-1</f>
        <v>-4.4499859100148864E-3</v>
      </c>
    </row>
    <row r="36" spans="1:24" s="56" customFormat="1" ht="12.75" customHeight="1" x14ac:dyDescent="0.6">
      <c r="A36" s="72"/>
      <c r="B36" s="72"/>
      <c r="C36" s="72" t="s">
        <v>92</v>
      </c>
      <c r="D36" s="72"/>
      <c r="E36" s="72"/>
      <c r="F36" s="72"/>
      <c r="G36" s="73">
        <f>G35/G$7</f>
        <v>0.3443905070118663</v>
      </c>
      <c r="H36" s="72"/>
      <c r="I36" s="73">
        <f>I35/I$7</f>
        <v>0.31302521008403367</v>
      </c>
      <c r="J36" s="72"/>
      <c r="K36" s="73">
        <f>K35/K$7</f>
        <v>0.26807453416149074</v>
      </c>
      <c r="L36" s="72"/>
      <c r="M36" s="73">
        <f>M35/M$7</f>
        <v>0.25343811394891952</v>
      </c>
      <c r="N36" s="72"/>
      <c r="O36" s="73">
        <f>O35/O$7</f>
        <v>0.24017094017094012</v>
      </c>
      <c r="P36" s="72"/>
      <c r="Q36" s="73">
        <f>Q35/Q$7</f>
        <v>0.23761955366631246</v>
      </c>
      <c r="R36" s="72"/>
      <c r="S36" s="73">
        <f>S35/S$7</f>
        <v>0.23761955366631246</v>
      </c>
      <c r="T36" s="72"/>
      <c r="U36" s="73">
        <f>U35/U$7</f>
        <v>0.23761955366631249</v>
      </c>
      <c r="V36" s="74"/>
      <c r="X36" s="3"/>
    </row>
    <row r="37" spans="1:24" ht="5.15" customHeight="1" x14ac:dyDescent="0.6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1"/>
    </row>
    <row r="38" spans="1:24" ht="5.15" customHeight="1" x14ac:dyDescent="0.6">
      <c r="C38" s="82"/>
    </row>
    <row r="39" spans="1:24" s="63" customFormat="1" x14ac:dyDescent="0.6">
      <c r="B39" s="63" t="s">
        <v>101</v>
      </c>
      <c r="G39" s="17">
        <v>4.9000000000000004</v>
      </c>
      <c r="I39" s="17">
        <v>0.9</v>
      </c>
      <c r="K39" s="83">
        <v>0</v>
      </c>
      <c r="M39" s="17">
        <v>-2.4</v>
      </c>
      <c r="O39" s="83">
        <v>0</v>
      </c>
      <c r="P39" s="105"/>
      <c r="Q39" s="83">
        <v>0</v>
      </c>
      <c r="S39" s="103">
        <f>Q39</f>
        <v>0</v>
      </c>
      <c r="T39" s="98"/>
      <c r="U39" s="103">
        <f>S39</f>
        <v>0</v>
      </c>
    </row>
    <row r="40" spans="1:24" x14ac:dyDescent="0.6">
      <c r="B40" t="s">
        <v>102</v>
      </c>
      <c r="G40" s="83">
        <v>0</v>
      </c>
      <c r="I40" s="83">
        <v>0</v>
      </c>
      <c r="K40" s="83">
        <v>0</v>
      </c>
      <c r="M40" s="83">
        <v>0</v>
      </c>
      <c r="O40" s="83">
        <v>0</v>
      </c>
      <c r="Q40" s="83">
        <v>0</v>
      </c>
      <c r="S40" s="103">
        <f>Q40</f>
        <v>0</v>
      </c>
      <c r="T40" s="98"/>
      <c r="U40" s="103">
        <f>S40</f>
        <v>0</v>
      </c>
    </row>
    <row r="41" spans="1:24" x14ac:dyDescent="0.6">
      <c r="B41" t="s">
        <v>103</v>
      </c>
      <c r="G41" s="83">
        <v>0</v>
      </c>
      <c r="I41" s="83">
        <v>0</v>
      </c>
      <c r="K41" s="83">
        <v>0</v>
      </c>
      <c r="M41" s="83">
        <v>0</v>
      </c>
      <c r="O41" s="83">
        <v>0</v>
      </c>
      <c r="Q41" s="83">
        <v>0</v>
      </c>
      <c r="S41" s="103">
        <f>Q41</f>
        <v>0</v>
      </c>
      <c r="T41" s="98"/>
      <c r="U41" s="103">
        <f>S41</f>
        <v>0</v>
      </c>
    </row>
    <row r="42" spans="1:24" s="63" customFormat="1" ht="13.5" customHeight="1" thickBot="1" x14ac:dyDescent="0.75">
      <c r="B42" s="63" t="s">
        <v>104</v>
      </c>
      <c r="G42" s="17">
        <v>0.1</v>
      </c>
      <c r="I42" s="83">
        <v>0</v>
      </c>
      <c r="K42" s="83">
        <v>0</v>
      </c>
      <c r="M42" s="113">
        <v>-0.1</v>
      </c>
      <c r="N42" s="105"/>
      <c r="O42" s="83">
        <v>0</v>
      </c>
      <c r="P42" s="105"/>
      <c r="Q42" s="83">
        <v>0</v>
      </c>
      <c r="R42" s="105"/>
      <c r="S42" s="103">
        <f>Q42</f>
        <v>0</v>
      </c>
      <c r="T42" s="104"/>
      <c r="U42" s="103">
        <f>S42</f>
        <v>0</v>
      </c>
    </row>
    <row r="43" spans="1:24" x14ac:dyDescent="0.6">
      <c r="B43" t="s">
        <v>105</v>
      </c>
      <c r="G43" s="65">
        <f>G35-SUM(G39:G42)</f>
        <v>122.70000000000002</v>
      </c>
      <c r="I43" s="65">
        <f>I35-SUM(I39:I42)</f>
        <v>118.30000000000001</v>
      </c>
      <c r="K43" s="65">
        <f>K35-SUM(K39:K42)</f>
        <v>107.90000000000002</v>
      </c>
      <c r="L43" s="95"/>
      <c r="M43" s="65">
        <f>M35-SUM(M39:M42)</f>
        <v>118.60000000000004</v>
      </c>
      <c r="O43" s="65">
        <f>O35-SUM(O39:O42)</f>
        <v>112.39999999999998</v>
      </c>
      <c r="Q43" s="65">
        <f>Q35-SUM(Q39:Q42)</f>
        <v>111.80000000000001</v>
      </c>
      <c r="R43" s="95"/>
      <c r="S43" s="65">
        <f>S35-SUM(S39:S42)</f>
        <v>112.91800000000001</v>
      </c>
      <c r="U43" s="65">
        <f>U35-SUM(U39:U42)</f>
        <v>114.04718000000003</v>
      </c>
      <c r="X43" s="62">
        <f>(U43/M43)^(1/(U$5-$M$5))-1</f>
        <v>-9.7383383056438566E-3</v>
      </c>
    </row>
    <row r="44" spans="1:24" ht="5.15" customHeight="1" x14ac:dyDescent="0.6"/>
    <row r="45" spans="1:24" s="63" customFormat="1" x14ac:dyDescent="0.6">
      <c r="B45" s="63" t="s">
        <v>106</v>
      </c>
      <c r="G45" s="88">
        <f>G46*G43</f>
        <v>24.302077562326872</v>
      </c>
      <c r="I45" s="88">
        <f>I46*I43</f>
        <v>17.473355399255276</v>
      </c>
      <c r="K45" s="88">
        <f>K46*K43</f>
        <v>11.377751196172254</v>
      </c>
      <c r="M45" s="88">
        <f>M46*M43</f>
        <v>15.842523913408296</v>
      </c>
      <c r="O45" s="88">
        <f>O46*O43</f>
        <v>15.475362318840579</v>
      </c>
      <c r="Q45" s="88">
        <f>Q46*Q43</f>
        <v>15.394172086043026</v>
      </c>
      <c r="S45" s="88">
        <f>S46*S43</f>
        <v>15.548113806903457</v>
      </c>
      <c r="U45" s="88">
        <f>U46*U43</f>
        <v>15.703594944972494</v>
      </c>
      <c r="X45" s="105"/>
    </row>
    <row r="46" spans="1:24" s="56" customFormat="1" ht="12.75" customHeight="1" thickBot="1" x14ac:dyDescent="0.75">
      <c r="C46" s="56" t="s">
        <v>107</v>
      </c>
      <c r="G46" s="53">
        <f>'Buyer P&amp;L'!G46</f>
        <v>0.19806094182825484</v>
      </c>
      <c r="I46" s="53">
        <f>'Buyer P&amp;L'!I46</f>
        <v>0.14770376499793131</v>
      </c>
      <c r="K46" s="53">
        <f>'Buyer P&amp;L'!K46</f>
        <v>0.10544718439455283</v>
      </c>
      <c r="M46" s="53">
        <f>'Buyer P&amp;L'!M46</f>
        <v>0.13357945964087936</v>
      </c>
      <c r="O46" s="53">
        <f>'Buyer P&amp;L'!O46</f>
        <v>0.13768115942028988</v>
      </c>
      <c r="Q46" s="53">
        <f>'Buyer P&amp;L'!Q46</f>
        <v>0.13769384692346176</v>
      </c>
      <c r="S46" s="53">
        <f>'Buyer P&amp;L'!S46</f>
        <v>0.13769384692346176</v>
      </c>
      <c r="U46" s="53">
        <f>'Buyer P&amp;L'!U46</f>
        <v>0.13769384692346176</v>
      </c>
      <c r="X46" s="63"/>
    </row>
    <row r="47" spans="1:24" ht="5.15" customHeight="1" x14ac:dyDescent="0.6">
      <c r="G47" s="65"/>
      <c r="I47" s="65"/>
      <c r="K47" s="65"/>
      <c r="M47" s="65"/>
      <c r="O47" s="65"/>
      <c r="Q47" s="65"/>
      <c r="S47" s="65"/>
      <c r="U47" s="65"/>
      <c r="X47" s="3"/>
    </row>
    <row r="48" spans="1:24" s="19" customFormat="1" x14ac:dyDescent="0.6">
      <c r="B48" s="19" t="s">
        <v>108</v>
      </c>
      <c r="G48" s="84">
        <f>G43-G45</f>
        <v>98.397922437673145</v>
      </c>
      <c r="H48" s="84"/>
      <c r="I48" s="84">
        <f>I43-I45</f>
        <v>100.82664460074474</v>
      </c>
      <c r="K48" s="84">
        <f>K43-K45</f>
        <v>96.522248803827765</v>
      </c>
      <c r="M48" s="84">
        <f>M43-M45</f>
        <v>102.75747608659174</v>
      </c>
      <c r="O48" s="84">
        <f>O43-O45</f>
        <v>96.924637681159396</v>
      </c>
      <c r="Q48" s="84">
        <f>Q43-Q45</f>
        <v>96.405827913956983</v>
      </c>
      <c r="S48" s="84">
        <f>S43-S45</f>
        <v>97.369886193096548</v>
      </c>
      <c r="U48" s="84">
        <f>U43-U45</f>
        <v>98.343585055027532</v>
      </c>
      <c r="X48" s="62">
        <f>(U48/M48)^(1/(U$5-$M$5))-1</f>
        <v>-1.0916056107146632E-2</v>
      </c>
    </row>
    <row r="49" spans="1:24" s="56" customFormat="1" ht="12.75" customHeight="1" x14ac:dyDescent="0.6">
      <c r="C49" s="56" t="s">
        <v>92</v>
      </c>
      <c r="G49" s="64">
        <f>G48/G$7</f>
        <v>0.26536656536589304</v>
      </c>
      <c r="I49" s="64">
        <f>I48/I$7</f>
        <v>0.26477585241792212</v>
      </c>
      <c r="K49" s="64">
        <f>K48/K$7</f>
        <v>0.23980682932628017</v>
      </c>
      <c r="M49" s="64">
        <f>M48/M$7</f>
        <v>0.22431232500893197</v>
      </c>
      <c r="O49" s="64">
        <f>O48/O$7</f>
        <v>0.20710392666914401</v>
      </c>
      <c r="Q49" s="64">
        <f>Q48/Q$7</f>
        <v>0.20490080321776191</v>
      </c>
      <c r="S49" s="64">
        <f>S48/S$7</f>
        <v>0.20490080321776191</v>
      </c>
      <c r="U49" s="64">
        <f>U48/U$7</f>
        <v>0.20490080321776197</v>
      </c>
    </row>
    <row r="50" spans="1:24" ht="5.15" customHeight="1" x14ac:dyDescent="0.6">
      <c r="X50" s="3"/>
    </row>
    <row r="51" spans="1:24" s="19" customFormat="1" x14ac:dyDescent="0.6">
      <c r="A51" s="85"/>
      <c r="B51" s="85" t="s">
        <v>109</v>
      </c>
      <c r="C51" s="85"/>
      <c r="D51" s="85"/>
      <c r="E51" s="85"/>
      <c r="F51" s="85"/>
      <c r="G51" s="86">
        <f>G48/G53</f>
        <v>2.8062378062306967</v>
      </c>
      <c r="H51" s="85"/>
      <c r="I51" s="86">
        <f>I48/I53</f>
        <v>2.9759930519700335</v>
      </c>
      <c r="J51" s="85"/>
      <c r="K51" s="86">
        <f>K48/K53</f>
        <v>2.7128231816702577</v>
      </c>
      <c r="L51" s="85"/>
      <c r="M51" s="86">
        <f>M48/M53</f>
        <v>2.8480453460807023</v>
      </c>
      <c r="N51" s="85"/>
      <c r="O51" s="86">
        <f>O48/O53</f>
        <v>2.6496620470519248</v>
      </c>
      <c r="P51" s="85"/>
      <c r="Q51" s="86">
        <f>Q48/Q53</f>
        <v>2.6354791665925914</v>
      </c>
      <c r="R51" s="85"/>
      <c r="S51" s="86">
        <f>S48/S53</f>
        <v>2.6618339582585171</v>
      </c>
      <c r="T51" s="85"/>
      <c r="U51" s="86">
        <f>U48/U53</f>
        <v>2.6884522978411027</v>
      </c>
      <c r="V51" s="87"/>
      <c r="X51" s="62">
        <f>(U51/M51)^(1/(U$5-$M$5))-1</f>
        <v>-1.4313385761233643E-2</v>
      </c>
    </row>
    <row r="52" spans="1:24" ht="5.15" customHeight="1" x14ac:dyDescent="0.6"/>
    <row r="53" spans="1:24" x14ac:dyDescent="0.6">
      <c r="B53" t="s">
        <v>110</v>
      </c>
      <c r="G53" s="12">
        <v>35.064</v>
      </c>
      <c r="H53" s="12"/>
      <c r="I53" s="12">
        <v>33.880000000000003</v>
      </c>
      <c r="J53" s="12"/>
      <c r="K53" s="12">
        <v>35.58</v>
      </c>
      <c r="L53" s="12"/>
      <c r="M53" s="12">
        <v>36.08</v>
      </c>
      <c r="N53" s="12"/>
      <c r="O53" s="12">
        <v>36.58</v>
      </c>
      <c r="P53" s="12"/>
      <c r="Q53" s="12">
        <v>36.58</v>
      </c>
      <c r="R53" s="114"/>
      <c r="S53" s="115">
        <f>Q53</f>
        <v>36.58</v>
      </c>
      <c r="T53" s="115"/>
      <c r="U53" s="115">
        <f>S53</f>
        <v>36.58</v>
      </c>
    </row>
    <row r="55" spans="1:24" x14ac:dyDescent="0.6">
      <c r="B55" s="19" t="s">
        <v>111</v>
      </c>
    </row>
    <row r="56" spans="1:24" x14ac:dyDescent="0.6">
      <c r="C56" t="s">
        <v>96</v>
      </c>
      <c r="G56" s="16">
        <f>G24*(1-G46)</f>
        <v>20.609833795013849</v>
      </c>
      <c r="I56" s="16">
        <f>I24*(1-I46)</f>
        <v>15.511791477037649</v>
      </c>
      <c r="K56" s="16">
        <f>K24*(1-K46)</f>
        <v>16.638682370261318</v>
      </c>
      <c r="M56" s="16">
        <f>M24*(1-M46)</f>
        <v>16.981842591038767</v>
      </c>
      <c r="O56" s="16">
        <f>O24*(1-O46)</f>
        <v>17.16014492753623</v>
      </c>
      <c r="Q56" s="16">
        <f>Q24*(1-Q46)</f>
        <v>17.246123061530763</v>
      </c>
      <c r="S56" s="16">
        <f>S24*(1-S46)</f>
        <v>17.246123061530763</v>
      </c>
      <c r="U56" s="16">
        <f>U24*(1-U46)</f>
        <v>17.246123061530763</v>
      </c>
    </row>
    <row r="57" spans="1:24" x14ac:dyDescent="0.6">
      <c r="C57" t="s">
        <v>98</v>
      </c>
      <c r="G57" s="88">
        <f>G29*(1-G46)</f>
        <v>13.231994459833794</v>
      </c>
      <c r="I57" s="88">
        <f>I29*(1-I46)</f>
        <v>11.420769549027719</v>
      </c>
      <c r="K57" s="88">
        <f>K29*(1-K46)</f>
        <v>10.108446816341553</v>
      </c>
      <c r="M57" s="88">
        <f>M29*(1-M46)</f>
        <v>9.3573418358785041</v>
      </c>
      <c r="O57" s="88">
        <f>O29*(1-O46)</f>
        <v>9.1405797101449267</v>
      </c>
      <c r="Q57" s="88">
        <f>Q29*(1-Q46)</f>
        <v>9.2266758379189593</v>
      </c>
      <c r="S57" s="88">
        <f>S29*(1-S46)</f>
        <v>9.3189425962981467</v>
      </c>
      <c r="U57" s="88">
        <f>U29*(1-U46)</f>
        <v>9.4121320222611295</v>
      </c>
    </row>
    <row r="58" spans="1:24" ht="13.5" customHeight="1" thickBot="1" x14ac:dyDescent="0.75">
      <c r="C58" t="s">
        <v>112</v>
      </c>
      <c r="G58" s="17">
        <v>8.1999999999999993</v>
      </c>
      <c r="I58" s="17">
        <v>3.4</v>
      </c>
      <c r="K58" s="17">
        <v>0.7</v>
      </c>
      <c r="M58" s="113">
        <v>0.1</v>
      </c>
      <c r="N58" s="98"/>
      <c r="O58" s="83">
        <v>0</v>
      </c>
      <c r="P58" s="98"/>
      <c r="Q58" s="83">
        <v>0</v>
      </c>
      <c r="R58" s="98"/>
      <c r="S58" s="103">
        <f>Q58</f>
        <v>0</v>
      </c>
      <c r="T58" s="98"/>
      <c r="U58" s="103">
        <f>S58</f>
        <v>0</v>
      </c>
    </row>
    <row r="59" spans="1:24" ht="5.15" customHeight="1" x14ac:dyDescent="0.6">
      <c r="G59" s="65"/>
      <c r="I59" s="65"/>
      <c r="K59" s="65"/>
      <c r="M59" s="65"/>
      <c r="O59" s="106"/>
      <c r="Q59" s="106"/>
      <c r="S59" s="106"/>
      <c r="U59" s="106"/>
    </row>
    <row r="60" spans="1:24" s="19" customFormat="1" x14ac:dyDescent="0.6">
      <c r="B60" s="19" t="s">
        <v>113</v>
      </c>
      <c r="G60" s="84">
        <f>G48-SUM(G56:G58)</f>
        <v>56.356094182825501</v>
      </c>
      <c r="I60" s="84">
        <f>I48-SUM(I56:I58)</f>
        <v>70.494083574679379</v>
      </c>
      <c r="K60" s="84">
        <f>K48-SUM(K56:K58)</f>
        <v>69.0751196172249</v>
      </c>
      <c r="M60" s="84">
        <f>M48-SUM(M56:M58)</f>
        <v>76.318291659674458</v>
      </c>
      <c r="O60" s="84">
        <f>O48-SUM(O56:O58)</f>
        <v>70.62391304347824</v>
      </c>
      <c r="Q60" s="84">
        <f>Q48-SUM(Q56:Q58)</f>
        <v>69.933029014507269</v>
      </c>
      <c r="S60" s="84">
        <f>S48-SUM(S56:S58)</f>
        <v>70.804820535267638</v>
      </c>
      <c r="U60" s="84">
        <f>U48-SUM(U56:U58)</f>
        <v>71.685329971235632</v>
      </c>
      <c r="X60" s="62">
        <f>(U60/M60)^(1/(U$5-$M$5))-1</f>
        <v>-1.5534701931343542E-2</v>
      </c>
    </row>
    <row r="61" spans="1:24" s="56" customFormat="1" ht="12.75" customHeight="1" x14ac:dyDescent="0.6">
      <c r="C61" s="56" t="s">
        <v>92</v>
      </c>
      <c r="G61" s="64">
        <f>G60/G$7</f>
        <v>0.15198515151786812</v>
      </c>
      <c r="I61" s="64">
        <f>I60/I$7</f>
        <v>0.18512101779064963</v>
      </c>
      <c r="K61" s="64">
        <f>K60/K$7</f>
        <v>0.17161520401795005</v>
      </c>
      <c r="M61" s="64">
        <f>M60/M$7</f>
        <v>0.16659744959544739</v>
      </c>
      <c r="O61" s="64">
        <f>O60/O$7</f>
        <v>0.15090579710144922</v>
      </c>
      <c r="Q61" s="64">
        <f>Q60/Q$7</f>
        <v>0.14863555582254467</v>
      </c>
      <c r="S61" s="64">
        <f>S60/S$7</f>
        <v>0.14899847546904524</v>
      </c>
      <c r="U61" s="64">
        <f>U60/U$7</f>
        <v>0.1493578018517191</v>
      </c>
    </row>
    <row r="62" spans="1:24" ht="5.15" customHeight="1" x14ac:dyDescent="0.6">
      <c r="X62" s="3"/>
    </row>
    <row r="63" spans="1:24" x14ac:dyDescent="0.6">
      <c r="A63" s="85"/>
      <c r="B63" s="85" t="s">
        <v>114</v>
      </c>
      <c r="C63" s="85"/>
      <c r="D63" s="85"/>
      <c r="E63" s="85"/>
      <c r="F63" s="85"/>
      <c r="G63" s="86">
        <f>G60/G53</f>
        <v>1.6072351751889544</v>
      </c>
      <c r="H63" s="85"/>
      <c r="I63" s="86">
        <f>I60/I53</f>
        <v>2.0806990429362271</v>
      </c>
      <c r="J63" s="85"/>
      <c r="K63" s="86">
        <f>K60/K53</f>
        <v>1.941403024655</v>
      </c>
      <c r="L63" s="85"/>
      <c r="M63" s="86">
        <f>M60/M53</f>
        <v>2.115251986132884</v>
      </c>
      <c r="N63" s="85"/>
      <c r="O63" s="86">
        <f>O60/O53</f>
        <v>1.9306701214728881</v>
      </c>
      <c r="P63" s="85"/>
      <c r="Q63" s="86">
        <f>Q60/Q53</f>
        <v>1.9117831879307621</v>
      </c>
      <c r="R63" s="85"/>
      <c r="S63" s="86">
        <f>S60/S53</f>
        <v>1.9356156515928824</v>
      </c>
      <c r="T63" s="85"/>
      <c r="U63" s="86">
        <f>U60/U53</f>
        <v>1.9596864398916247</v>
      </c>
      <c r="V63" s="87"/>
      <c r="X63" s="62">
        <f>(U63/M63)^(1/(U$5-$M$5))-1</f>
        <v>-1.8916167348105528E-2</v>
      </c>
    </row>
    <row r="65" spans="1:23" s="89" customFormat="1" ht="12.75" customHeight="1" x14ac:dyDescent="0.6">
      <c r="B65" s="89" t="s">
        <v>115</v>
      </c>
      <c r="G65" s="23">
        <v>26</v>
      </c>
      <c r="I65" s="23">
        <v>12.5</v>
      </c>
      <c r="K65" s="23">
        <v>18</v>
      </c>
      <c r="M65" s="23">
        <v>16</v>
      </c>
      <c r="O65" s="23">
        <v>14.1</v>
      </c>
      <c r="Q65" s="16">
        <f>Q66*Q7</f>
        <v>14.175320512820512</v>
      </c>
      <c r="S65" s="16">
        <f>S66*S7</f>
        <v>14.317073717948718</v>
      </c>
      <c r="U65" s="16">
        <f>U66*U7</f>
        <v>14.460244455128205</v>
      </c>
    </row>
    <row r="66" spans="1:23" s="56" customFormat="1" ht="12.75" customHeight="1" x14ac:dyDescent="0.6">
      <c r="A66" s="72"/>
      <c r="B66" s="72"/>
      <c r="C66" s="72" t="s">
        <v>90</v>
      </c>
      <c r="D66" s="72"/>
      <c r="E66" s="72"/>
      <c r="F66" s="72"/>
      <c r="G66" s="73">
        <f>G65/G$7</f>
        <v>7.0118662351672065E-2</v>
      </c>
      <c r="H66" s="72"/>
      <c r="I66" s="73">
        <f>I65/I$7</f>
        <v>3.2825630252100842E-2</v>
      </c>
      <c r="J66" s="72"/>
      <c r="K66" s="73">
        <f>K65/K$7</f>
        <v>4.472049689440994E-2</v>
      </c>
      <c r="L66" s="72"/>
      <c r="M66" s="73">
        <f>M65/M$7</f>
        <v>3.4926871862038855E-2</v>
      </c>
      <c r="N66" s="72"/>
      <c r="O66" s="73">
        <f>O65/O$7</f>
        <v>3.0128205128205129E-2</v>
      </c>
      <c r="P66" s="72"/>
      <c r="Q66" s="73">
        <f>O66</f>
        <v>3.0128205128205129E-2</v>
      </c>
      <c r="R66" s="72"/>
      <c r="S66" s="73">
        <f>Q66</f>
        <v>3.0128205128205129E-2</v>
      </c>
      <c r="T66" s="72"/>
      <c r="U66" s="73">
        <f>S66</f>
        <v>3.0128205128205129E-2</v>
      </c>
      <c r="V66" s="72"/>
      <c r="W66" s="72"/>
    </row>
  </sheetData>
  <phoneticPr fontId="1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Assumptions</vt:lpstr>
      <vt:lpstr>Buyer P&amp;L</vt:lpstr>
      <vt:lpstr>Target P&amp;L</vt:lpstr>
      <vt:lpstr>acq</vt:lpstr>
      <vt:lpstr>acq_fye</vt:lpstr>
      <vt:lpstr>acq_price</vt:lpstr>
      <vt:lpstr>tgt</vt:lpstr>
      <vt:lpstr>tgt_price</vt:lpstr>
      <vt:lpstr>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MacGregor</dc:creator>
  <cp:lastModifiedBy>Celso Trinidad</cp:lastModifiedBy>
  <dcterms:created xsi:type="dcterms:W3CDTF">2008-10-06T18:34:59Z</dcterms:created>
  <dcterms:modified xsi:type="dcterms:W3CDTF">2023-08-29T07:03:00Z</dcterms:modified>
</cp:coreProperties>
</file>